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defaultThemeVersion="124226"/>
  <xr:revisionPtr revIDLastSave="0" documentId="8_{04E1D27B-F61B-487E-8961-9212FA4DD899}" xr6:coauthVersionLast="47" xr6:coauthVersionMax="47" xr10:uidLastSave="{00000000-0000-0000-0000-000000000000}"/>
  <workbookProtection workbookAlgorithmName="SHA-512" workbookHashValue="W1oUPOEYBcqKvaUdQ8zheYxFxdpKbOJRlYHmMLa800YoQcwdXUkVN911vxYE/v9WJrcgVKLmAh6OScjpmfnj3g==" workbookSaltValue="PTSfpzC6GzUo4u2V2uaRrQ==" workbookSpinCount="100000" lockStructure="1"/>
  <bookViews>
    <workbookView xWindow="19090" yWindow="-110" windowWidth="25820" windowHeight="14020" xr2:uid="{00000000-000D-0000-FFFF-FFFF00000000}"/>
  </bookViews>
  <sheets>
    <sheet name="AES Indiana Sep 23 Bill Calc." sheetId="10" r:id="rId1"/>
    <sheet name="Help (Res. and Small C&amp;I)" sheetId="12" r:id="rId2"/>
    <sheet name="Help (Large C&amp;I)" sheetId="13" r:id="rId3"/>
    <sheet name="Help (Rate SE)" sheetId="14" r:id="rId4"/>
    <sheet name="Inputs" sheetId="11" state="hidden" r:id="rId5"/>
    <sheet name="Calc-Sep. 23 Current" sheetId="5" state="hidden" r:id="rId6"/>
    <sheet name="Pwr Factor" sheetId="2" state="hidden" r:id="rId7"/>
    <sheet name="Dates" sheetId="3" state="hidden" r:id="rId8"/>
  </sheets>
  <definedNames>
    <definedName name="_xlnm.Print_Area" localSheetId="5">'Calc-Sep. 23 Current'!$A$1:$AB$904</definedName>
    <definedName name="_xlnm.Print_Titles" localSheetId="5">'Calc-Sep. 23 Current'!$1:$37</definedName>
    <definedName name="_xlnm.Print_Titles" localSheetId="7">Dates!$A:$B</definedName>
    <definedName name="solver_adj" localSheetId="5" hidden="1">'Calc-Sep. 23 Current'!#REF!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'Calc-Sep. 23 Current'!#REF!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2" i="11" l="1"/>
  <c r="C46" i="11" l="1"/>
  <c r="C45" i="11"/>
  <c r="E55" i="11" l="1"/>
  <c r="E53" i="11"/>
  <c r="E45" i="11" l="1"/>
  <c r="H45" i="11"/>
  <c r="H44" i="11"/>
  <c r="J55" i="11"/>
  <c r="G55" i="11"/>
  <c r="J54" i="11"/>
  <c r="G54" i="11"/>
  <c r="J53" i="11"/>
  <c r="G53" i="11"/>
  <c r="J52" i="11"/>
  <c r="G52" i="11"/>
  <c r="J51" i="11"/>
  <c r="G51" i="11"/>
  <c r="J50" i="11"/>
  <c r="G50" i="11"/>
  <c r="J49" i="11"/>
  <c r="H49" i="11"/>
  <c r="G49" i="11"/>
  <c r="J48" i="11"/>
  <c r="G48" i="11"/>
  <c r="J47" i="11"/>
  <c r="G47" i="11"/>
  <c r="H46" i="11"/>
  <c r="J46" i="11" s="1"/>
  <c r="E46" i="11"/>
  <c r="G46" i="11" s="1"/>
  <c r="G45" i="11"/>
  <c r="J44" i="11"/>
  <c r="G44" i="11"/>
  <c r="AC1068" i="5"/>
  <c r="AB1068" i="5"/>
  <c r="E1068" i="5"/>
  <c r="C1068" i="5" s="1"/>
  <c r="D1068" i="5"/>
  <c r="R1067" i="5" s="1"/>
  <c r="B1068" i="5"/>
  <c r="AC1066" i="5"/>
  <c r="AB1066" i="5"/>
  <c r="E1066" i="5"/>
  <c r="C1066" i="5" s="1"/>
  <c r="D1066" i="5"/>
  <c r="R1065" i="5" s="1"/>
  <c r="B1066" i="5"/>
  <c r="W1066" i="5" s="1"/>
  <c r="AC1064" i="5"/>
  <c r="AB1064" i="5"/>
  <c r="E1064" i="5"/>
  <c r="C1064" i="5" s="1"/>
  <c r="D1064" i="5"/>
  <c r="R1063" i="5" s="1"/>
  <c r="B1064" i="5"/>
  <c r="H1064" i="5" s="1"/>
  <c r="AC1062" i="5"/>
  <c r="AB1062" i="5"/>
  <c r="E1062" i="5"/>
  <c r="C1062" i="5" s="1"/>
  <c r="D1062" i="5"/>
  <c r="R1061" i="5" s="1"/>
  <c r="B1062" i="5"/>
  <c r="AC1060" i="5"/>
  <c r="AB1060" i="5"/>
  <c r="E1060" i="5"/>
  <c r="C1060" i="5" s="1"/>
  <c r="D1060" i="5"/>
  <c r="R1059" i="5" s="1"/>
  <c r="B1060" i="5"/>
  <c r="B982" i="5"/>
  <c r="B980" i="5"/>
  <c r="B978" i="5"/>
  <c r="B976" i="5"/>
  <c r="J976" i="5" s="1"/>
  <c r="B974" i="5"/>
  <c r="K974" i="5" s="1"/>
  <c r="N974" i="5" s="1"/>
  <c r="AC982" i="5"/>
  <c r="E982" i="5"/>
  <c r="C982" i="5" s="1"/>
  <c r="D982" i="5"/>
  <c r="R981" i="5" s="1"/>
  <c r="AC980" i="5"/>
  <c r="E980" i="5"/>
  <c r="C980" i="5" s="1"/>
  <c r="L980" i="5" s="1"/>
  <c r="D980" i="5"/>
  <c r="R979" i="5" s="1"/>
  <c r="AC978" i="5"/>
  <c r="E978" i="5"/>
  <c r="C978" i="5" s="1"/>
  <c r="D978" i="5"/>
  <c r="R977" i="5" s="1"/>
  <c r="AC976" i="5"/>
  <c r="E976" i="5"/>
  <c r="C976" i="5" s="1"/>
  <c r="D976" i="5"/>
  <c r="R975" i="5" s="1"/>
  <c r="AC974" i="5"/>
  <c r="E974" i="5"/>
  <c r="C974" i="5" s="1"/>
  <c r="D974" i="5"/>
  <c r="R973" i="5" s="1"/>
  <c r="B879" i="5"/>
  <c r="B877" i="5"/>
  <c r="K877" i="5" s="1"/>
  <c r="N877" i="5" s="1"/>
  <c r="B875" i="5"/>
  <c r="B873" i="5"/>
  <c r="B871" i="5"/>
  <c r="AC879" i="5"/>
  <c r="E879" i="5"/>
  <c r="C879" i="5" s="1"/>
  <c r="D879" i="5"/>
  <c r="R878" i="5" s="1"/>
  <c r="AC878" i="5"/>
  <c r="M878" i="5"/>
  <c r="L878" i="5"/>
  <c r="K878" i="5"/>
  <c r="J878" i="5"/>
  <c r="H878" i="5"/>
  <c r="AC877" i="5"/>
  <c r="E877" i="5"/>
  <c r="C877" i="5" s="1"/>
  <c r="D877" i="5"/>
  <c r="R876" i="5" s="1"/>
  <c r="AC876" i="5"/>
  <c r="M876" i="5"/>
  <c r="L876" i="5"/>
  <c r="K876" i="5"/>
  <c r="J876" i="5"/>
  <c r="H876" i="5"/>
  <c r="AC875" i="5"/>
  <c r="E875" i="5"/>
  <c r="C875" i="5" s="1"/>
  <c r="M875" i="5" s="1"/>
  <c r="D875" i="5"/>
  <c r="R874" i="5" s="1"/>
  <c r="AC874" i="5"/>
  <c r="M874" i="5"/>
  <c r="L874" i="5"/>
  <c r="K874" i="5"/>
  <c r="J874" i="5"/>
  <c r="H874" i="5"/>
  <c r="AC873" i="5"/>
  <c r="E873" i="5"/>
  <c r="C873" i="5" s="1"/>
  <c r="M873" i="5" s="1"/>
  <c r="D873" i="5"/>
  <c r="R872" i="5" s="1"/>
  <c r="AC872" i="5"/>
  <c r="M872" i="5"/>
  <c r="L872" i="5"/>
  <c r="K872" i="5"/>
  <c r="J872" i="5"/>
  <c r="H872" i="5"/>
  <c r="AC871" i="5"/>
  <c r="E871" i="5"/>
  <c r="C871" i="5" s="1"/>
  <c r="D871" i="5"/>
  <c r="R870" i="5" s="1"/>
  <c r="AC870" i="5"/>
  <c r="M870" i="5"/>
  <c r="L870" i="5"/>
  <c r="K870" i="5"/>
  <c r="J870" i="5"/>
  <c r="H870" i="5"/>
  <c r="V888" i="5"/>
  <c r="V795" i="5"/>
  <c r="B785" i="5"/>
  <c r="B783" i="5"/>
  <c r="B781" i="5"/>
  <c r="B779" i="5"/>
  <c r="J779" i="5" s="1"/>
  <c r="B777" i="5"/>
  <c r="V777" i="5" s="1"/>
  <c r="AC785" i="5"/>
  <c r="AB785" i="5"/>
  <c r="E785" i="5"/>
  <c r="C785" i="5" s="1"/>
  <c r="D785" i="5"/>
  <c r="R784" i="5" s="1"/>
  <c r="AC783" i="5"/>
  <c r="AB783" i="5"/>
  <c r="E783" i="5"/>
  <c r="C783" i="5" s="1"/>
  <c r="L783" i="5" s="1"/>
  <c r="D783" i="5"/>
  <c r="R782" i="5" s="1"/>
  <c r="AC781" i="5"/>
  <c r="AB781" i="5"/>
  <c r="E781" i="5"/>
  <c r="C781" i="5" s="1"/>
  <c r="D781" i="5"/>
  <c r="R780" i="5" s="1"/>
  <c r="AC779" i="5"/>
  <c r="AB779" i="5"/>
  <c r="E779" i="5"/>
  <c r="C779" i="5" s="1"/>
  <c r="D779" i="5"/>
  <c r="R778" i="5" s="1"/>
  <c r="AC777" i="5"/>
  <c r="AB777" i="5"/>
  <c r="E777" i="5"/>
  <c r="C777" i="5" s="1"/>
  <c r="D777" i="5"/>
  <c r="R776" i="5" s="1"/>
  <c r="V701" i="5"/>
  <c r="B691" i="5"/>
  <c r="B689" i="5"/>
  <c r="B687" i="5"/>
  <c r="B685" i="5"/>
  <c r="B683" i="5"/>
  <c r="V607" i="5"/>
  <c r="AC691" i="5"/>
  <c r="AB691" i="5"/>
  <c r="E691" i="5"/>
  <c r="I691" i="5" s="1"/>
  <c r="D691" i="5"/>
  <c r="R690" i="5" s="1"/>
  <c r="Q690" i="5"/>
  <c r="AC689" i="5"/>
  <c r="AB689" i="5"/>
  <c r="E689" i="5"/>
  <c r="C689" i="5" s="1"/>
  <c r="K688" i="5" s="1"/>
  <c r="D689" i="5"/>
  <c r="R688" i="5" s="1"/>
  <c r="Q688" i="5"/>
  <c r="AC687" i="5"/>
  <c r="AB687" i="5"/>
  <c r="E687" i="5"/>
  <c r="I687" i="5" s="1"/>
  <c r="D687" i="5"/>
  <c r="R686" i="5" s="1"/>
  <c r="Q686" i="5"/>
  <c r="AC685" i="5"/>
  <c r="AB685" i="5"/>
  <c r="E685" i="5"/>
  <c r="C685" i="5" s="1"/>
  <c r="D685" i="5"/>
  <c r="R684" i="5" s="1"/>
  <c r="Q684" i="5"/>
  <c r="AC683" i="5"/>
  <c r="AB683" i="5"/>
  <c r="E683" i="5"/>
  <c r="I683" i="5" s="1"/>
  <c r="D683" i="5"/>
  <c r="R682" i="5" s="1"/>
  <c r="Q682" i="5"/>
  <c r="B600" i="5"/>
  <c r="B598" i="5"/>
  <c r="B596" i="5"/>
  <c r="H596" i="5" s="1"/>
  <c r="B594" i="5"/>
  <c r="H594" i="5" s="1"/>
  <c r="B592" i="5"/>
  <c r="K592" i="5" s="1"/>
  <c r="N592" i="5" s="1"/>
  <c r="B506" i="5"/>
  <c r="B504" i="5"/>
  <c r="B502" i="5"/>
  <c r="V502" i="5" s="1"/>
  <c r="B500" i="5"/>
  <c r="K500" i="5" s="1"/>
  <c r="N500" i="5" s="1"/>
  <c r="B508" i="5"/>
  <c r="V508" i="5" s="1"/>
  <c r="AC600" i="5"/>
  <c r="E600" i="5"/>
  <c r="C600" i="5" s="1"/>
  <c r="D600" i="5"/>
  <c r="R599" i="5" s="1"/>
  <c r="AC598" i="5"/>
  <c r="E598" i="5"/>
  <c r="C598" i="5" s="1"/>
  <c r="D598" i="5"/>
  <c r="R597" i="5" s="1"/>
  <c r="AC596" i="5"/>
  <c r="E596" i="5"/>
  <c r="C596" i="5" s="1"/>
  <c r="D596" i="5"/>
  <c r="R595" i="5" s="1"/>
  <c r="AC594" i="5"/>
  <c r="E594" i="5"/>
  <c r="C594" i="5" s="1"/>
  <c r="D594" i="5"/>
  <c r="R593" i="5" s="1"/>
  <c r="AC592" i="5"/>
  <c r="E592" i="5"/>
  <c r="C592" i="5" s="1"/>
  <c r="D592" i="5"/>
  <c r="R591" i="5" s="1"/>
  <c r="V516" i="5"/>
  <c r="V424" i="5"/>
  <c r="AC508" i="5"/>
  <c r="E508" i="5"/>
  <c r="C508" i="5" s="1"/>
  <c r="D508" i="5"/>
  <c r="R507" i="5" s="1"/>
  <c r="AC506" i="5"/>
  <c r="E506" i="5"/>
  <c r="C506" i="5" s="1"/>
  <c r="O506" i="5" s="1"/>
  <c r="D506" i="5"/>
  <c r="R505" i="5" s="1"/>
  <c r="AC504" i="5"/>
  <c r="E504" i="5"/>
  <c r="C504" i="5" s="1"/>
  <c r="D504" i="5"/>
  <c r="R503" i="5" s="1"/>
  <c r="AC502" i="5"/>
  <c r="E502" i="5"/>
  <c r="C502" i="5" s="1"/>
  <c r="D502" i="5"/>
  <c r="R501" i="5" s="1"/>
  <c r="AC500" i="5"/>
  <c r="E500" i="5"/>
  <c r="C500" i="5" s="1"/>
  <c r="D500" i="5"/>
  <c r="R499" i="5" s="1"/>
  <c r="V279" i="5"/>
  <c r="B363" i="5"/>
  <c r="B361" i="5"/>
  <c r="B359" i="5"/>
  <c r="J359" i="5" s="1"/>
  <c r="B357" i="5"/>
  <c r="J357" i="5" s="1"/>
  <c r="B355" i="5"/>
  <c r="J355" i="5" s="1"/>
  <c r="B353" i="5"/>
  <c r="AC363" i="5"/>
  <c r="AB363" i="5"/>
  <c r="C363" i="5"/>
  <c r="D363" i="5" s="1"/>
  <c r="AC361" i="5"/>
  <c r="AB361" i="5"/>
  <c r="C361" i="5"/>
  <c r="D361" i="5" s="1"/>
  <c r="AC359" i="5"/>
  <c r="AB359" i="5"/>
  <c r="C359" i="5"/>
  <c r="D359" i="5" s="1"/>
  <c r="AC357" i="5"/>
  <c r="AB357" i="5"/>
  <c r="C357" i="5"/>
  <c r="D357" i="5" s="1"/>
  <c r="AC355" i="5"/>
  <c r="AB355" i="5"/>
  <c r="M355" i="5"/>
  <c r="L355" i="5"/>
  <c r="K355" i="5"/>
  <c r="C355" i="5"/>
  <c r="D355" i="5" s="1"/>
  <c r="V84" i="5"/>
  <c r="V87" i="5"/>
  <c r="V88" i="5"/>
  <c r="V89" i="5"/>
  <c r="B173" i="5"/>
  <c r="B171" i="5"/>
  <c r="B169" i="5"/>
  <c r="B167" i="5"/>
  <c r="B165" i="5"/>
  <c r="V176" i="5"/>
  <c r="V177" i="5"/>
  <c r="V178" i="5"/>
  <c r="V179" i="5"/>
  <c r="V180" i="5"/>
  <c r="V181" i="5"/>
  <c r="V182" i="5"/>
  <c r="V183" i="5"/>
  <c r="V184" i="5"/>
  <c r="U185" i="5"/>
  <c r="V185" i="5"/>
  <c r="W185" i="5"/>
  <c r="X185" i="5"/>
  <c r="Y185" i="5"/>
  <c r="Z185" i="5"/>
  <c r="AA185" i="5"/>
  <c r="B268" i="5"/>
  <c r="V268" i="5" s="1"/>
  <c r="B266" i="5"/>
  <c r="K266" i="5" s="1"/>
  <c r="N266" i="5" s="1"/>
  <c r="B264" i="5"/>
  <c r="B262" i="5"/>
  <c r="B260" i="5"/>
  <c r="AC268" i="5"/>
  <c r="AC266" i="5"/>
  <c r="AC264" i="5"/>
  <c r="AC262" i="5"/>
  <c r="AC260" i="5"/>
  <c r="C55" i="11"/>
  <c r="C54" i="11"/>
  <c r="C53" i="11"/>
  <c r="C52" i="11"/>
  <c r="C51" i="11"/>
  <c r="C50" i="11"/>
  <c r="C49" i="11"/>
  <c r="C48" i="11"/>
  <c r="C47" i="11"/>
  <c r="C56" i="11"/>
  <c r="C57" i="11"/>
  <c r="B681" i="5"/>
  <c r="C38" i="11"/>
  <c r="C37" i="11"/>
  <c r="C58" i="11"/>
  <c r="C59" i="11"/>
  <c r="D63"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B1" i="10"/>
  <c r="E524" i="5"/>
  <c r="C524" i="5" s="1"/>
  <c r="E526" i="5"/>
  <c r="C526" i="5" s="1"/>
  <c r="E522" i="5"/>
  <c r="C522" i="5" s="1"/>
  <c r="M522" i="5" s="1"/>
  <c r="B522" i="5"/>
  <c r="B43" i="5"/>
  <c r="V873" i="5" l="1"/>
  <c r="C44" i="11"/>
  <c r="J45" i="11"/>
  <c r="M1068" i="5"/>
  <c r="L1068" i="5"/>
  <c r="L1066" i="5"/>
  <c r="M1066" i="5"/>
  <c r="K1060" i="5"/>
  <c r="N1060" i="5" s="1"/>
  <c r="W1062" i="5"/>
  <c r="V355" i="5"/>
  <c r="W1060" i="5"/>
  <c r="V500" i="5"/>
  <c r="H1060" i="5"/>
  <c r="H1062" i="5"/>
  <c r="W1064" i="5"/>
  <c r="J1060" i="5"/>
  <c r="J1062" i="5"/>
  <c r="M1064" i="5"/>
  <c r="L1064" i="5"/>
  <c r="M1060" i="5"/>
  <c r="L1060" i="5"/>
  <c r="M1062" i="5"/>
  <c r="L1062" i="5"/>
  <c r="K1062" i="5"/>
  <c r="J1064" i="5"/>
  <c r="H1066" i="5"/>
  <c r="K1064" i="5"/>
  <c r="N1064" i="5" s="1"/>
  <c r="J1066" i="5"/>
  <c r="H1068" i="5"/>
  <c r="W1068" i="5"/>
  <c r="K1066" i="5"/>
  <c r="N1066" i="5" s="1"/>
  <c r="J1068" i="5"/>
  <c r="K1068" i="5"/>
  <c r="N1068" i="5" s="1"/>
  <c r="V976" i="5"/>
  <c r="V978" i="5"/>
  <c r="V980" i="5"/>
  <c r="V982" i="5"/>
  <c r="V974" i="5"/>
  <c r="K980" i="5"/>
  <c r="N980" i="5" s="1"/>
  <c r="H976" i="5"/>
  <c r="H974" i="5"/>
  <c r="J974" i="5"/>
  <c r="M978" i="5"/>
  <c r="L978" i="5"/>
  <c r="M974" i="5"/>
  <c r="L974" i="5"/>
  <c r="L982" i="5"/>
  <c r="M982" i="5"/>
  <c r="M976" i="5"/>
  <c r="L976" i="5"/>
  <c r="M980" i="5"/>
  <c r="Q980" i="5" s="1"/>
  <c r="H978" i="5"/>
  <c r="K976" i="5"/>
  <c r="N976" i="5" s="1"/>
  <c r="J978" i="5"/>
  <c r="H980" i="5"/>
  <c r="K978" i="5"/>
  <c r="N978" i="5" s="1"/>
  <c r="J980" i="5"/>
  <c r="H982" i="5"/>
  <c r="J982" i="5"/>
  <c r="K982" i="5"/>
  <c r="N982" i="5" s="1"/>
  <c r="C687" i="5"/>
  <c r="K686" i="5" s="1"/>
  <c r="K687" i="5" s="1"/>
  <c r="V685" i="5"/>
  <c r="V871" i="5"/>
  <c r="M871" i="5"/>
  <c r="L871" i="5"/>
  <c r="I689" i="5"/>
  <c r="V875" i="5"/>
  <c r="H777" i="5"/>
  <c r="V877" i="5"/>
  <c r="V879" i="5"/>
  <c r="J875" i="5"/>
  <c r="K875" i="5"/>
  <c r="N875" i="5" s="1"/>
  <c r="H873" i="5"/>
  <c r="J873" i="5"/>
  <c r="L879" i="5"/>
  <c r="M879" i="5"/>
  <c r="M877" i="5"/>
  <c r="L877" i="5"/>
  <c r="H871" i="5"/>
  <c r="J871" i="5"/>
  <c r="K873" i="5"/>
  <c r="N873" i="5" s="1"/>
  <c r="L875" i="5"/>
  <c r="Q875" i="5" s="1"/>
  <c r="K871" i="5"/>
  <c r="L873" i="5"/>
  <c r="Q873" i="5" s="1"/>
  <c r="H879" i="5"/>
  <c r="H877" i="5"/>
  <c r="J879" i="5"/>
  <c r="H875" i="5"/>
  <c r="J877" i="5"/>
  <c r="K879" i="5"/>
  <c r="N879" i="5" s="1"/>
  <c r="M785" i="5"/>
  <c r="L785" i="5"/>
  <c r="V683" i="5"/>
  <c r="V785" i="5"/>
  <c r="V687" i="5"/>
  <c r="V783" i="5"/>
  <c r="V689" i="5"/>
  <c r="V691" i="5"/>
  <c r="V779" i="5"/>
  <c r="H781" i="5"/>
  <c r="H779" i="5"/>
  <c r="J777" i="5"/>
  <c r="K777" i="5"/>
  <c r="N777" i="5" s="1"/>
  <c r="M781" i="5"/>
  <c r="L781" i="5"/>
  <c r="M779" i="5"/>
  <c r="L779" i="5"/>
  <c r="M777" i="5"/>
  <c r="L777" i="5"/>
  <c r="K779" i="5"/>
  <c r="J781" i="5"/>
  <c r="H783" i="5"/>
  <c r="K781" i="5"/>
  <c r="N781" i="5" s="1"/>
  <c r="J783" i="5"/>
  <c r="H785" i="5"/>
  <c r="M783" i="5"/>
  <c r="Q783" i="5" s="1"/>
  <c r="K783" i="5"/>
  <c r="N783" i="5" s="1"/>
  <c r="J785" i="5"/>
  <c r="K785" i="5"/>
  <c r="N785" i="5" s="1"/>
  <c r="V598" i="5"/>
  <c r="V600" i="5"/>
  <c r="J594" i="5"/>
  <c r="J689" i="5"/>
  <c r="C691" i="5"/>
  <c r="K690" i="5" s="1"/>
  <c r="L691" i="5" s="1"/>
  <c r="L686" i="5"/>
  <c r="C683" i="5"/>
  <c r="K682" i="5" s="1"/>
  <c r="K683" i="5" s="1"/>
  <c r="H687" i="5"/>
  <c r="H685" i="5"/>
  <c r="M685" i="5"/>
  <c r="Q685" i="5" s="1"/>
  <c r="K684" i="5"/>
  <c r="L684" i="5" s="1"/>
  <c r="K689" i="5"/>
  <c r="J687" i="5"/>
  <c r="L689" i="5"/>
  <c r="I685" i="5"/>
  <c r="M689" i="5"/>
  <c r="Q689" i="5" s="1"/>
  <c r="H683" i="5"/>
  <c r="J685" i="5"/>
  <c r="H691" i="5"/>
  <c r="L688" i="5"/>
  <c r="J683" i="5"/>
  <c r="H689" i="5"/>
  <c r="J691" i="5"/>
  <c r="L598" i="5"/>
  <c r="M598" i="5"/>
  <c r="V504" i="5"/>
  <c r="V592" i="5"/>
  <c r="V594" i="5"/>
  <c r="V596" i="5"/>
  <c r="H592" i="5"/>
  <c r="J592" i="5"/>
  <c r="M596" i="5"/>
  <c r="L596" i="5"/>
  <c r="M594" i="5"/>
  <c r="L594" i="5"/>
  <c r="M592" i="5"/>
  <c r="L592" i="5"/>
  <c r="L600" i="5"/>
  <c r="M600" i="5"/>
  <c r="K594" i="5"/>
  <c r="N594" i="5" s="1"/>
  <c r="J596" i="5"/>
  <c r="H598" i="5"/>
  <c r="K596" i="5"/>
  <c r="N596" i="5" s="1"/>
  <c r="J598" i="5"/>
  <c r="H600" i="5"/>
  <c r="K598" i="5"/>
  <c r="N598" i="5" s="1"/>
  <c r="J600" i="5"/>
  <c r="K600" i="5"/>
  <c r="N600" i="5" s="1"/>
  <c r="V173" i="5"/>
  <c r="H504" i="5"/>
  <c r="V165" i="5"/>
  <c r="V506" i="5"/>
  <c r="V167" i="5"/>
  <c r="V363" i="5"/>
  <c r="V171" i="5"/>
  <c r="V266" i="5"/>
  <c r="J500" i="5"/>
  <c r="V361" i="5"/>
  <c r="H502" i="5"/>
  <c r="J502" i="5"/>
  <c r="V357" i="5"/>
  <c r="H500" i="5"/>
  <c r="P502" i="5"/>
  <c r="O502" i="5"/>
  <c r="O504" i="5"/>
  <c r="P504" i="5"/>
  <c r="P500" i="5"/>
  <c r="O500" i="5"/>
  <c r="P508" i="5"/>
  <c r="O508" i="5"/>
  <c r="P506" i="5"/>
  <c r="Q506" i="5" s="1"/>
  <c r="K502" i="5"/>
  <c r="N502" i="5" s="1"/>
  <c r="J504" i="5"/>
  <c r="H506" i="5"/>
  <c r="K504" i="5"/>
  <c r="N504" i="5" s="1"/>
  <c r="J506" i="5"/>
  <c r="H508" i="5"/>
  <c r="K506" i="5"/>
  <c r="N506" i="5" s="1"/>
  <c r="J508" i="5"/>
  <c r="K508" i="5"/>
  <c r="N508" i="5" s="1"/>
  <c r="V169" i="5"/>
  <c r="V359" i="5"/>
  <c r="N355" i="5"/>
  <c r="J363" i="5"/>
  <c r="J361" i="5"/>
  <c r="K362" i="5"/>
  <c r="K363" i="5" s="1"/>
  <c r="M362" i="5"/>
  <c r="M363" i="5" s="1"/>
  <c r="K360" i="5"/>
  <c r="K361" i="5" s="1"/>
  <c r="M360" i="5"/>
  <c r="M361" i="5" s="1"/>
  <c r="K358" i="5"/>
  <c r="K359" i="5" s="1"/>
  <c r="M358" i="5"/>
  <c r="M359" i="5" s="1"/>
  <c r="K356" i="5"/>
  <c r="K357" i="5" s="1"/>
  <c r="M356" i="5"/>
  <c r="M357" i="5" s="1"/>
  <c r="H355" i="5"/>
  <c r="H357" i="5"/>
  <c r="H359" i="5"/>
  <c r="H361" i="5"/>
  <c r="H363" i="5"/>
  <c r="H165" i="5"/>
  <c r="H167" i="5"/>
  <c r="H169" i="5"/>
  <c r="H171" i="5"/>
  <c r="H173" i="5"/>
  <c r="J165" i="5"/>
  <c r="J167" i="5"/>
  <c r="J169" i="5"/>
  <c r="J171" i="5"/>
  <c r="J173" i="5"/>
  <c r="K165" i="5"/>
  <c r="K167" i="5"/>
  <c r="K169" i="5"/>
  <c r="K171" i="5"/>
  <c r="K173" i="5"/>
  <c r="L165" i="5"/>
  <c r="L167" i="5"/>
  <c r="L169" i="5"/>
  <c r="L171" i="5"/>
  <c r="L173" i="5"/>
  <c r="W264" i="5"/>
  <c r="AA260" i="5"/>
  <c r="Z262" i="5"/>
  <c r="AB264" i="5"/>
  <c r="AB266" i="5"/>
  <c r="AB260" i="5"/>
  <c r="AB185" i="5"/>
  <c r="AB268" i="5"/>
  <c r="AA262" i="5"/>
  <c r="AB262" i="5"/>
  <c r="X262" i="5"/>
  <c r="W268" i="5"/>
  <c r="X268" i="5"/>
  <c r="X264" i="5"/>
  <c r="V262" i="5"/>
  <c r="V264" i="5"/>
  <c r="W266" i="5"/>
  <c r="U268" i="5"/>
  <c r="H268" i="5"/>
  <c r="J268" i="5"/>
  <c r="X266" i="5"/>
  <c r="Y266" i="5"/>
  <c r="H266" i="5"/>
  <c r="J266" i="5"/>
  <c r="Y264" i="5"/>
  <c r="U264" i="5"/>
  <c r="Z264" i="5"/>
  <c r="H264" i="5"/>
  <c r="J264" i="5"/>
  <c r="K264" i="5"/>
  <c r="N264" i="5" s="1"/>
  <c r="H262" i="5"/>
  <c r="K262" i="5"/>
  <c r="N262" i="5" s="1"/>
  <c r="W262" i="5"/>
  <c r="Y262" i="5"/>
  <c r="V260" i="5"/>
  <c r="U260" i="5"/>
  <c r="W260" i="5"/>
  <c r="H260" i="5"/>
  <c r="X260" i="5"/>
  <c r="J260" i="5"/>
  <c r="Y260" i="5"/>
  <c r="K260" i="5"/>
  <c r="N260" i="5" s="1"/>
  <c r="Z260" i="5"/>
  <c r="AA264" i="5"/>
  <c r="Z266" i="5"/>
  <c r="K268" i="5"/>
  <c r="Y268" i="5"/>
  <c r="U262" i="5"/>
  <c r="AA266" i="5"/>
  <c r="Z268" i="5"/>
  <c r="AA268" i="5"/>
  <c r="U266" i="5"/>
  <c r="J262" i="5"/>
  <c r="L522" i="5"/>
  <c r="L526" i="5"/>
  <c r="M526" i="5"/>
  <c r="M524" i="5"/>
  <c r="L524" i="5"/>
  <c r="D1058" i="5"/>
  <c r="D819" i="5"/>
  <c r="E819" i="5"/>
  <c r="C819" i="5" s="1"/>
  <c r="D817" i="5"/>
  <c r="E817" i="5"/>
  <c r="C817" i="5" s="1"/>
  <c r="D815" i="5"/>
  <c r="E815" i="5"/>
  <c r="C815" i="5" s="1"/>
  <c r="D813" i="5"/>
  <c r="E813" i="5"/>
  <c r="C813" i="5" s="1"/>
  <c r="B378" i="5"/>
  <c r="AC378" i="5"/>
  <c r="AB378" i="5"/>
  <c r="B198" i="5"/>
  <c r="Q1068" i="5" l="1"/>
  <c r="M687" i="5"/>
  <c r="Q687" i="5" s="1"/>
  <c r="L687" i="5"/>
  <c r="N687" i="5" s="1"/>
  <c r="Q1064" i="5"/>
  <c r="C60" i="11"/>
  <c r="A13" i="10" s="1"/>
  <c r="Q1066" i="5"/>
  <c r="R974" i="5"/>
  <c r="G974" i="5" s="1"/>
  <c r="Q785" i="5"/>
  <c r="Q978" i="5"/>
  <c r="Q877" i="5"/>
  <c r="Q594" i="5"/>
  <c r="R1062" i="5"/>
  <c r="G1062" i="5" s="1"/>
  <c r="Q976" i="5"/>
  <c r="Q781" i="5"/>
  <c r="Q871" i="5"/>
  <c r="Q1062" i="5"/>
  <c r="N1062" i="5"/>
  <c r="R1068" i="5"/>
  <c r="G1068" i="5" s="1"/>
  <c r="R1064" i="5"/>
  <c r="G1064" i="5" s="1"/>
  <c r="Q1060" i="5"/>
  <c r="R1060" i="5"/>
  <c r="G1060" i="5" s="1"/>
  <c r="R1066" i="5"/>
  <c r="G1066" i="5" s="1"/>
  <c r="Q596" i="5"/>
  <c r="Q982" i="5"/>
  <c r="Q779" i="5"/>
  <c r="R980" i="5"/>
  <c r="G980" i="5" s="1"/>
  <c r="R982" i="5"/>
  <c r="G982" i="5" s="1"/>
  <c r="R976" i="5"/>
  <c r="G976" i="5" s="1"/>
  <c r="R978" i="5"/>
  <c r="G978" i="5" s="1"/>
  <c r="Q974" i="5"/>
  <c r="L685" i="5"/>
  <c r="Q777" i="5"/>
  <c r="Q879" i="5"/>
  <c r="L690" i="5"/>
  <c r="R873" i="5"/>
  <c r="G873" i="5" s="1"/>
  <c r="R879" i="5"/>
  <c r="G879" i="5" s="1"/>
  <c r="N871" i="5"/>
  <c r="R871" i="5"/>
  <c r="G871" i="5" s="1"/>
  <c r="R877" i="5"/>
  <c r="G877" i="5" s="1"/>
  <c r="R875" i="5"/>
  <c r="G875" i="5" s="1"/>
  <c r="R779" i="5"/>
  <c r="G779" i="5" s="1"/>
  <c r="R777" i="5"/>
  <c r="R781" i="5"/>
  <c r="G781" i="5" s="1"/>
  <c r="N779" i="5"/>
  <c r="R783" i="5"/>
  <c r="G783" i="5" s="1"/>
  <c r="R785" i="5"/>
  <c r="G785" i="5" s="1"/>
  <c r="Q598" i="5"/>
  <c r="L682" i="5"/>
  <c r="M683" i="5"/>
  <c r="Q683" i="5" s="1"/>
  <c r="K691" i="5"/>
  <c r="N691" i="5" s="1"/>
  <c r="L683" i="5"/>
  <c r="N683" i="5" s="1"/>
  <c r="M691" i="5"/>
  <c r="Q691" i="5" s="1"/>
  <c r="K685" i="5"/>
  <c r="N689" i="5"/>
  <c r="R689" i="5"/>
  <c r="P688" i="5" s="1"/>
  <c r="G689" i="5" s="1"/>
  <c r="R594" i="5"/>
  <c r="G594" i="5" s="1"/>
  <c r="Q600" i="5"/>
  <c r="R598" i="5"/>
  <c r="G598" i="5" s="1"/>
  <c r="Q508" i="5"/>
  <c r="Q592" i="5"/>
  <c r="R592" i="5"/>
  <c r="G592" i="5" s="1"/>
  <c r="R596" i="5"/>
  <c r="G596" i="5" s="1"/>
  <c r="R600" i="5"/>
  <c r="G600" i="5" s="1"/>
  <c r="R500" i="5"/>
  <c r="G500" i="5" s="1"/>
  <c r="Q502" i="5"/>
  <c r="Q504" i="5"/>
  <c r="R506" i="5"/>
  <c r="G506" i="5" s="1"/>
  <c r="R502" i="5"/>
  <c r="G502" i="5" s="1"/>
  <c r="R508" i="5"/>
  <c r="G508" i="5" s="1"/>
  <c r="R504" i="5"/>
  <c r="G504" i="5" s="1"/>
  <c r="Q500" i="5"/>
  <c r="N167" i="5"/>
  <c r="L360" i="5"/>
  <c r="L361" i="5" s="1"/>
  <c r="N361" i="5" s="1"/>
  <c r="L358" i="5"/>
  <c r="L359" i="5" s="1"/>
  <c r="N359" i="5" s="1"/>
  <c r="L356" i="5"/>
  <c r="L357" i="5" s="1"/>
  <c r="N357" i="5" s="1"/>
  <c r="L362" i="5"/>
  <c r="L363" i="5" s="1"/>
  <c r="N363" i="5" s="1"/>
  <c r="N169" i="5"/>
  <c r="N171" i="5"/>
  <c r="N165" i="5"/>
  <c r="N173" i="5"/>
  <c r="AB176" i="5"/>
  <c r="AB177" i="5"/>
  <c r="AB178" i="5"/>
  <c r="N268" i="5"/>
  <c r="M815" i="5"/>
  <c r="L815" i="5"/>
  <c r="M813" i="5"/>
  <c r="L813" i="5"/>
  <c r="L817" i="5"/>
  <c r="M817" i="5"/>
  <c r="M819" i="5"/>
  <c r="L819" i="5"/>
  <c r="J378" i="5"/>
  <c r="K378" i="5"/>
  <c r="N378" i="5" s="1"/>
  <c r="C30" i="10" a="1"/>
  <c r="C30" i="10" s="1"/>
  <c r="B570" i="5"/>
  <c r="B813" i="5"/>
  <c r="B815" i="5"/>
  <c r="B817" i="5"/>
  <c r="B819" i="5"/>
  <c r="Z8" i="5"/>
  <c r="Z9" i="5"/>
  <c r="Z10" i="5"/>
  <c r="Z11" i="5"/>
  <c r="Z12" i="5"/>
  <c r="R687" i="5" l="1"/>
  <c r="P686" i="5" s="1"/>
  <c r="G687" i="5" s="1"/>
  <c r="N685" i="5"/>
  <c r="R691" i="5"/>
  <c r="P690" i="5" s="1"/>
  <c r="G691" i="5" s="1"/>
  <c r="R683" i="5"/>
  <c r="P682" i="5" s="1"/>
  <c r="G683" i="5" s="1"/>
  <c r="R685" i="5"/>
  <c r="P684" i="5" s="1"/>
  <c r="G685" i="5" s="1"/>
  <c r="C29" i="10" a="1"/>
  <c r="C29" i="10" s="1"/>
  <c r="B1058" i="5" l="1"/>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72" i="5"/>
  <c r="B970" i="5"/>
  <c r="B968" i="5"/>
  <c r="B966" i="5"/>
  <c r="B964" i="5"/>
  <c r="B962" i="5"/>
  <c r="B960" i="5"/>
  <c r="B958" i="5"/>
  <c r="B956" i="5"/>
  <c r="B954" i="5"/>
  <c r="B952" i="5"/>
  <c r="B950" i="5"/>
  <c r="B948" i="5"/>
  <c r="B946" i="5"/>
  <c r="B944" i="5"/>
  <c r="B942" i="5"/>
  <c r="B940" i="5"/>
  <c r="B938" i="5"/>
  <c r="B936" i="5"/>
  <c r="B934" i="5"/>
  <c r="B932" i="5"/>
  <c r="B930" i="5"/>
  <c r="B928" i="5"/>
  <c r="B926" i="5"/>
  <c r="B924" i="5"/>
  <c r="B922" i="5"/>
  <c r="B920" i="5"/>
  <c r="B918" i="5"/>
  <c r="B916" i="5"/>
  <c r="B914" i="5"/>
  <c r="B912" i="5"/>
  <c r="B910" i="5"/>
  <c r="B908" i="5"/>
  <c r="B906" i="5"/>
  <c r="B904" i="5"/>
  <c r="B902" i="5"/>
  <c r="B900" i="5"/>
  <c r="B898" i="5"/>
  <c r="B896" i="5"/>
  <c r="B894" i="5"/>
  <c r="B869" i="5"/>
  <c r="B867" i="5"/>
  <c r="B865" i="5"/>
  <c r="B863" i="5"/>
  <c r="B861" i="5"/>
  <c r="B859" i="5"/>
  <c r="B857" i="5"/>
  <c r="B855" i="5"/>
  <c r="B853" i="5"/>
  <c r="B851" i="5"/>
  <c r="B849" i="5"/>
  <c r="B847" i="5"/>
  <c r="B845" i="5"/>
  <c r="B843" i="5"/>
  <c r="B841" i="5"/>
  <c r="B839" i="5"/>
  <c r="B837" i="5"/>
  <c r="B835" i="5"/>
  <c r="B833" i="5"/>
  <c r="B831" i="5"/>
  <c r="B829" i="5"/>
  <c r="B827" i="5"/>
  <c r="B825" i="5"/>
  <c r="B823" i="5"/>
  <c r="B821" i="5"/>
  <c r="B811" i="5"/>
  <c r="B809" i="5"/>
  <c r="B807" i="5"/>
  <c r="B805" i="5"/>
  <c r="B803" i="5"/>
  <c r="B801" i="5"/>
  <c r="B775" i="5"/>
  <c r="B773" i="5"/>
  <c r="B771" i="5"/>
  <c r="B769" i="5"/>
  <c r="B767" i="5"/>
  <c r="B765" i="5"/>
  <c r="B763" i="5"/>
  <c r="B761" i="5"/>
  <c r="B759" i="5"/>
  <c r="B757" i="5"/>
  <c r="B755" i="5"/>
  <c r="B753" i="5"/>
  <c r="B751" i="5"/>
  <c r="B749" i="5"/>
  <c r="B747" i="5"/>
  <c r="B745" i="5"/>
  <c r="B743" i="5"/>
  <c r="B741" i="5"/>
  <c r="B739" i="5"/>
  <c r="B737" i="5"/>
  <c r="B735" i="5"/>
  <c r="B733" i="5"/>
  <c r="B731" i="5"/>
  <c r="B729" i="5"/>
  <c r="B727" i="5"/>
  <c r="B725" i="5"/>
  <c r="B723" i="5"/>
  <c r="B721" i="5"/>
  <c r="B719" i="5"/>
  <c r="B717" i="5"/>
  <c r="B715" i="5"/>
  <c r="B713" i="5"/>
  <c r="B711" i="5"/>
  <c r="B709" i="5"/>
  <c r="B707" i="5"/>
  <c r="B679" i="5"/>
  <c r="B677" i="5"/>
  <c r="B675" i="5"/>
  <c r="B673" i="5"/>
  <c r="B671" i="5"/>
  <c r="B669" i="5"/>
  <c r="B667" i="5"/>
  <c r="B665" i="5"/>
  <c r="B663" i="5"/>
  <c r="B661" i="5"/>
  <c r="B659" i="5"/>
  <c r="B657" i="5"/>
  <c r="B655" i="5"/>
  <c r="B653" i="5"/>
  <c r="B651" i="5"/>
  <c r="B649" i="5"/>
  <c r="B647" i="5"/>
  <c r="B645" i="5"/>
  <c r="B643" i="5"/>
  <c r="B641" i="5"/>
  <c r="B639" i="5"/>
  <c r="B637" i="5"/>
  <c r="B635" i="5"/>
  <c r="B633" i="5"/>
  <c r="B631" i="5"/>
  <c r="B629" i="5"/>
  <c r="B627" i="5"/>
  <c r="B625" i="5"/>
  <c r="B623" i="5"/>
  <c r="B621" i="5"/>
  <c r="B619" i="5"/>
  <c r="B617" i="5"/>
  <c r="B615" i="5"/>
  <c r="B613" i="5"/>
  <c r="B590" i="5"/>
  <c r="B588" i="5"/>
  <c r="B586" i="5"/>
  <c r="B584" i="5"/>
  <c r="B582" i="5"/>
  <c r="B580" i="5"/>
  <c r="B578" i="5"/>
  <c r="B576" i="5"/>
  <c r="B574" i="5"/>
  <c r="B572" i="5"/>
  <c r="B568" i="5"/>
  <c r="B566" i="5"/>
  <c r="B564" i="5"/>
  <c r="B562" i="5"/>
  <c r="B560" i="5"/>
  <c r="B558" i="5"/>
  <c r="B556" i="5"/>
  <c r="B554" i="5"/>
  <c r="B552" i="5"/>
  <c r="B550" i="5"/>
  <c r="B548" i="5"/>
  <c r="B546" i="5"/>
  <c r="B544" i="5"/>
  <c r="B542" i="5"/>
  <c r="B540" i="5"/>
  <c r="B538" i="5"/>
  <c r="B536" i="5"/>
  <c r="B534" i="5"/>
  <c r="B532" i="5"/>
  <c r="B530" i="5"/>
  <c r="K530" i="5" s="1"/>
  <c r="B528" i="5"/>
  <c r="B526" i="5"/>
  <c r="K526" i="5" s="1"/>
  <c r="B524" i="5"/>
  <c r="B498" i="5"/>
  <c r="B496" i="5"/>
  <c r="B494" i="5"/>
  <c r="B492" i="5"/>
  <c r="B490" i="5"/>
  <c r="B488" i="5"/>
  <c r="B486" i="5"/>
  <c r="B484" i="5"/>
  <c r="B482" i="5"/>
  <c r="B480" i="5"/>
  <c r="B478" i="5"/>
  <c r="B476" i="5"/>
  <c r="B474" i="5"/>
  <c r="B472" i="5"/>
  <c r="B470" i="5"/>
  <c r="B468" i="5"/>
  <c r="B466" i="5"/>
  <c r="B464" i="5"/>
  <c r="B462" i="5"/>
  <c r="B460" i="5"/>
  <c r="B458" i="5"/>
  <c r="B456" i="5"/>
  <c r="B454" i="5"/>
  <c r="B452" i="5"/>
  <c r="B450" i="5"/>
  <c r="B448" i="5"/>
  <c r="B446" i="5"/>
  <c r="B444" i="5"/>
  <c r="B442" i="5"/>
  <c r="B440" i="5"/>
  <c r="B438" i="5"/>
  <c r="B436" i="5"/>
  <c r="B434" i="5"/>
  <c r="B432" i="5"/>
  <c r="B430" i="5"/>
  <c r="B414" i="5"/>
  <c r="B412" i="5"/>
  <c r="B410" i="5"/>
  <c r="B408" i="5"/>
  <c r="B406" i="5"/>
  <c r="B398" i="5"/>
  <c r="B396" i="5"/>
  <c r="B394" i="5"/>
  <c r="B392" i="5"/>
  <c r="B390" i="5"/>
  <c r="B380" i="5"/>
  <c r="B376" i="5"/>
  <c r="B374" i="5"/>
  <c r="B372" i="5"/>
  <c r="B351" i="5"/>
  <c r="B349" i="5"/>
  <c r="B347" i="5"/>
  <c r="B345" i="5"/>
  <c r="B343" i="5"/>
  <c r="B341" i="5"/>
  <c r="B339" i="5"/>
  <c r="B337" i="5"/>
  <c r="B335" i="5"/>
  <c r="B333" i="5"/>
  <c r="B331" i="5"/>
  <c r="B329" i="5"/>
  <c r="B327" i="5"/>
  <c r="B325" i="5"/>
  <c r="B323" i="5"/>
  <c r="B321" i="5"/>
  <c r="B319" i="5"/>
  <c r="B317" i="5"/>
  <c r="B315" i="5"/>
  <c r="B313" i="5"/>
  <c r="B311" i="5"/>
  <c r="B309" i="5"/>
  <c r="B307" i="5"/>
  <c r="B305" i="5"/>
  <c r="B303" i="5"/>
  <c r="B301" i="5"/>
  <c r="B299" i="5"/>
  <c r="B297" i="5"/>
  <c r="B295" i="5"/>
  <c r="B293" i="5"/>
  <c r="B291" i="5"/>
  <c r="B289" i="5"/>
  <c r="B287" i="5"/>
  <c r="B285" i="5"/>
  <c r="B258" i="5"/>
  <c r="B256" i="5"/>
  <c r="V256" i="5" s="1"/>
  <c r="B254" i="5"/>
  <c r="B252" i="5"/>
  <c r="B250" i="5"/>
  <c r="B248" i="5"/>
  <c r="B246" i="5"/>
  <c r="V246" i="5" s="1"/>
  <c r="B244" i="5"/>
  <c r="B242" i="5"/>
  <c r="B240" i="5"/>
  <c r="B238" i="5"/>
  <c r="B236" i="5"/>
  <c r="V236" i="5" s="1"/>
  <c r="B234" i="5"/>
  <c r="B232" i="5"/>
  <c r="B230" i="5"/>
  <c r="B228" i="5"/>
  <c r="B226" i="5"/>
  <c r="B224" i="5"/>
  <c r="B222" i="5"/>
  <c r="V222" i="5" s="1"/>
  <c r="B220" i="5"/>
  <c r="B218" i="5"/>
  <c r="B216" i="5"/>
  <c r="V216" i="5" s="1"/>
  <c r="B214" i="5"/>
  <c r="B212" i="5"/>
  <c r="B210" i="5"/>
  <c r="B208" i="5"/>
  <c r="B206" i="5"/>
  <c r="V206" i="5" s="1"/>
  <c r="B204" i="5"/>
  <c r="B202" i="5"/>
  <c r="B200" i="5"/>
  <c r="B196" i="5"/>
  <c r="B194" i="5"/>
  <c r="B192" i="5"/>
  <c r="B190" i="5"/>
  <c r="B163" i="5"/>
  <c r="B161" i="5"/>
  <c r="B159" i="5"/>
  <c r="V159" i="5" s="1"/>
  <c r="B157" i="5"/>
  <c r="B155" i="5"/>
  <c r="V155" i="5" s="1"/>
  <c r="B153" i="5"/>
  <c r="B151" i="5"/>
  <c r="B149" i="5"/>
  <c r="V149" i="5" s="1"/>
  <c r="B147" i="5"/>
  <c r="B145" i="5"/>
  <c r="B143" i="5"/>
  <c r="B141" i="5"/>
  <c r="B139" i="5"/>
  <c r="B137" i="5"/>
  <c r="B135" i="5"/>
  <c r="B133" i="5"/>
  <c r="B131" i="5"/>
  <c r="B129" i="5"/>
  <c r="B127" i="5"/>
  <c r="B125" i="5"/>
  <c r="B123" i="5"/>
  <c r="B121" i="5"/>
  <c r="B119" i="5"/>
  <c r="B117" i="5"/>
  <c r="B115" i="5"/>
  <c r="V115" i="5" s="1"/>
  <c r="B113" i="5"/>
  <c r="B111" i="5"/>
  <c r="B109" i="5"/>
  <c r="B107" i="5"/>
  <c r="B105" i="5"/>
  <c r="B103" i="5"/>
  <c r="B101" i="5"/>
  <c r="B99" i="5"/>
  <c r="B97" i="5"/>
  <c r="B95" i="5"/>
  <c r="B75" i="5"/>
  <c r="B79" i="5"/>
  <c r="B77" i="5"/>
  <c r="B73" i="5"/>
  <c r="B65" i="5"/>
  <c r="B63" i="5"/>
  <c r="B61" i="5"/>
  <c r="B59" i="5"/>
  <c r="K59" i="5" s="1"/>
  <c r="B49" i="5"/>
  <c r="B47" i="5"/>
  <c r="B45" i="5"/>
  <c r="C293" i="5"/>
  <c r="C28" i="10" a="1"/>
  <c r="C28" i="10" s="1"/>
  <c r="C27" i="10" a="1"/>
  <c r="C27" i="10" s="1"/>
  <c r="V476" i="5" l="1"/>
  <c r="V496" i="5"/>
  <c r="E1058" i="5"/>
  <c r="D1056" i="5"/>
  <c r="R1055" i="5" s="1"/>
  <c r="E1056" i="5"/>
  <c r="D1054" i="5"/>
  <c r="R1053" i="5" s="1"/>
  <c r="E1054" i="5"/>
  <c r="D1052" i="5"/>
  <c r="R1051" i="5" s="1"/>
  <c r="E1052" i="5"/>
  <c r="AC1058" i="5"/>
  <c r="AB1058" i="5"/>
  <c r="R1057" i="5"/>
  <c r="AC1056" i="5"/>
  <c r="AB1056" i="5"/>
  <c r="AC1054" i="5"/>
  <c r="AB1054" i="5"/>
  <c r="AC1052" i="5"/>
  <c r="AB1052" i="5"/>
  <c r="D1050" i="5"/>
  <c r="R1049" i="5" s="1"/>
  <c r="E1050" i="5"/>
  <c r="J1050" i="5"/>
  <c r="AC1050" i="5"/>
  <c r="AB1050" i="5"/>
  <c r="D1048" i="5"/>
  <c r="R1047" i="5" s="1"/>
  <c r="E1048" i="5"/>
  <c r="C1048" i="5" s="1"/>
  <c r="J1048" i="5"/>
  <c r="D1046" i="5"/>
  <c r="R1045" i="5" s="1"/>
  <c r="E1046" i="5"/>
  <c r="D1044" i="5"/>
  <c r="R1043" i="5" s="1"/>
  <c r="E1044" i="5"/>
  <c r="C1044" i="5" s="1"/>
  <c r="J1044" i="5"/>
  <c r="D1042" i="5"/>
  <c r="R1041" i="5" s="1"/>
  <c r="E1042" i="5"/>
  <c r="J1042" i="5"/>
  <c r="AC1048" i="5"/>
  <c r="AB1048" i="5"/>
  <c r="AC1046" i="5"/>
  <c r="AB1046" i="5"/>
  <c r="AC1044" i="5"/>
  <c r="AB1044" i="5"/>
  <c r="AC1042" i="5"/>
  <c r="AB1042" i="5"/>
  <c r="D1040" i="5"/>
  <c r="R1039" i="5" s="1"/>
  <c r="E1040" i="5"/>
  <c r="C1040" i="5" s="1"/>
  <c r="AC1040" i="5"/>
  <c r="AB1040" i="5"/>
  <c r="D1038" i="5"/>
  <c r="R1037" i="5" s="1"/>
  <c r="E1038" i="5"/>
  <c r="K1038" i="5"/>
  <c r="D1036" i="5"/>
  <c r="R1035" i="5" s="1"/>
  <c r="E1036" i="5"/>
  <c r="D1034" i="5"/>
  <c r="R1033" i="5" s="1"/>
  <c r="E1034" i="5"/>
  <c r="J1034" i="5"/>
  <c r="D1032" i="5"/>
  <c r="R1031" i="5" s="1"/>
  <c r="E1032" i="5"/>
  <c r="C1032" i="5" s="1"/>
  <c r="AC1038" i="5"/>
  <c r="AB1038" i="5"/>
  <c r="AC1036" i="5"/>
  <c r="AB1036" i="5"/>
  <c r="AC1034" i="5"/>
  <c r="AB1034" i="5"/>
  <c r="AC1032" i="5"/>
  <c r="D1030" i="5"/>
  <c r="R1029" i="5" s="1"/>
  <c r="E1030" i="5"/>
  <c r="C1030" i="5" s="1"/>
  <c r="J1030" i="5"/>
  <c r="AC1030" i="5"/>
  <c r="D1028" i="5"/>
  <c r="R1027" i="5" s="1"/>
  <c r="E1028" i="5"/>
  <c r="J1028" i="5"/>
  <c r="D1026" i="5"/>
  <c r="R1025" i="5" s="1"/>
  <c r="E1026" i="5"/>
  <c r="C1026" i="5" s="1"/>
  <c r="D1024" i="5"/>
  <c r="R1023" i="5" s="1"/>
  <c r="E1024" i="5"/>
  <c r="D1022" i="5"/>
  <c r="R1021" i="5" s="1"/>
  <c r="E1022" i="5"/>
  <c r="W1022" i="5"/>
  <c r="AC1028" i="5"/>
  <c r="AC1026" i="5"/>
  <c r="AC1024" i="5"/>
  <c r="AC1022" i="5"/>
  <c r="D1020" i="5"/>
  <c r="R1019" i="5" s="1"/>
  <c r="E1020" i="5"/>
  <c r="AC1020" i="5"/>
  <c r="D1018" i="5"/>
  <c r="R1017" i="5" s="1"/>
  <c r="E1018" i="5"/>
  <c r="C1018" i="5" s="1"/>
  <c r="D1016" i="5"/>
  <c r="R1015" i="5" s="1"/>
  <c r="E1016" i="5"/>
  <c r="J1016" i="5"/>
  <c r="D1014" i="5"/>
  <c r="R1013" i="5" s="1"/>
  <c r="E1014" i="5"/>
  <c r="C1014" i="5" s="1"/>
  <c r="D1012" i="5"/>
  <c r="R1011" i="5" s="1"/>
  <c r="E1012" i="5"/>
  <c r="W1012" i="5"/>
  <c r="AC1018" i="5"/>
  <c r="AC1016" i="5"/>
  <c r="AC1014" i="5"/>
  <c r="AC1012" i="5"/>
  <c r="D1010" i="5"/>
  <c r="R1009" i="5" s="1"/>
  <c r="E1010" i="5"/>
  <c r="AC1010" i="5"/>
  <c r="D1008" i="5"/>
  <c r="R1007" i="5" s="1"/>
  <c r="E1008" i="5"/>
  <c r="D1006" i="5"/>
  <c r="R1005" i="5" s="1"/>
  <c r="E1006" i="5"/>
  <c r="J1006" i="5"/>
  <c r="D1004" i="5"/>
  <c r="R1003" i="5" s="1"/>
  <c r="E1004" i="5"/>
  <c r="C1004" i="5" s="1"/>
  <c r="D1002" i="5"/>
  <c r="R1001" i="5" s="1"/>
  <c r="E1002" i="5"/>
  <c r="J1002" i="5"/>
  <c r="AC1008" i="5"/>
  <c r="AC1006" i="5"/>
  <c r="AC1004" i="5"/>
  <c r="AC1002" i="5"/>
  <c r="D1000" i="5"/>
  <c r="R999" i="5" s="1"/>
  <c r="E1000" i="5"/>
  <c r="AC1000" i="5"/>
  <c r="D998" i="5"/>
  <c r="R997" i="5" s="1"/>
  <c r="E998" i="5"/>
  <c r="W998" i="5"/>
  <c r="D996" i="5"/>
  <c r="R995" i="5" s="1"/>
  <c r="E996" i="5"/>
  <c r="D994" i="5"/>
  <c r="R993" i="5" s="1"/>
  <c r="E994" i="5"/>
  <c r="C994" i="5" s="1"/>
  <c r="W994" i="5"/>
  <c r="D992" i="5"/>
  <c r="R991" i="5" s="1"/>
  <c r="E992" i="5"/>
  <c r="W992" i="5"/>
  <c r="AC998" i="5"/>
  <c r="AC996" i="5"/>
  <c r="AC994" i="5"/>
  <c r="AC992" i="5"/>
  <c r="D990" i="5"/>
  <c r="R989" i="5" s="1"/>
  <c r="E990" i="5"/>
  <c r="C990" i="5" s="1"/>
  <c r="AC990" i="5"/>
  <c r="D972" i="5"/>
  <c r="R971" i="5" s="1"/>
  <c r="E972" i="5"/>
  <c r="J972" i="5"/>
  <c r="D970" i="5"/>
  <c r="R969" i="5" s="1"/>
  <c r="E970" i="5"/>
  <c r="C970" i="5" s="1"/>
  <c r="D968" i="5"/>
  <c r="R967" i="5" s="1"/>
  <c r="E968" i="5"/>
  <c r="J968" i="5"/>
  <c r="D966" i="5"/>
  <c r="R965" i="5" s="1"/>
  <c r="E966" i="5"/>
  <c r="C966" i="5" s="1"/>
  <c r="J966" i="5"/>
  <c r="AC972" i="5"/>
  <c r="AC970" i="5"/>
  <c r="AC968" i="5"/>
  <c r="AC966" i="5"/>
  <c r="AC964" i="5"/>
  <c r="D964" i="5"/>
  <c r="R963" i="5" s="1"/>
  <c r="E964" i="5"/>
  <c r="C964" i="5" s="1"/>
  <c r="D962" i="5"/>
  <c r="R961" i="5" s="1"/>
  <c r="E962" i="5"/>
  <c r="C962" i="5" s="1"/>
  <c r="D960" i="5"/>
  <c r="R959" i="5" s="1"/>
  <c r="E960" i="5"/>
  <c r="C960" i="5" s="1"/>
  <c r="D958" i="5"/>
  <c r="R957" i="5" s="1"/>
  <c r="E958" i="5"/>
  <c r="D956" i="5"/>
  <c r="R955" i="5" s="1"/>
  <c r="E956" i="5"/>
  <c r="AC962" i="5"/>
  <c r="AC960" i="5"/>
  <c r="AC958" i="5"/>
  <c r="AC956" i="5"/>
  <c r="D954" i="5"/>
  <c r="R953" i="5" s="1"/>
  <c r="E954" i="5"/>
  <c r="AC954" i="5"/>
  <c r="D952" i="5"/>
  <c r="R951" i="5" s="1"/>
  <c r="E952" i="5"/>
  <c r="D950" i="5"/>
  <c r="R949" i="5" s="1"/>
  <c r="E950" i="5"/>
  <c r="J950" i="5"/>
  <c r="D948" i="5"/>
  <c r="R947" i="5" s="1"/>
  <c r="E948" i="5"/>
  <c r="C948" i="5" s="1"/>
  <c r="D946" i="5"/>
  <c r="R945" i="5" s="1"/>
  <c r="E946" i="5"/>
  <c r="AC952" i="5"/>
  <c r="AC950" i="5"/>
  <c r="AC948" i="5"/>
  <c r="AC946" i="5"/>
  <c r="D944" i="5"/>
  <c r="R943" i="5" s="1"/>
  <c r="E944" i="5"/>
  <c r="AC944" i="5"/>
  <c r="D942" i="5"/>
  <c r="R941" i="5" s="1"/>
  <c r="E942" i="5"/>
  <c r="D940" i="5"/>
  <c r="R939" i="5" s="1"/>
  <c r="E940" i="5"/>
  <c r="D938" i="5"/>
  <c r="R937" i="5" s="1"/>
  <c r="E938" i="5"/>
  <c r="D936" i="5"/>
  <c r="R935" i="5" s="1"/>
  <c r="E936" i="5"/>
  <c r="C936" i="5" s="1"/>
  <c r="AC942" i="5"/>
  <c r="AC940" i="5"/>
  <c r="AC938" i="5"/>
  <c r="AC936" i="5"/>
  <c r="D934" i="5"/>
  <c r="R933" i="5" s="1"/>
  <c r="E934" i="5"/>
  <c r="K934" i="5"/>
  <c r="N934" i="5" s="1"/>
  <c r="AC934" i="5"/>
  <c r="D932" i="5"/>
  <c r="R931" i="5" s="1"/>
  <c r="E932" i="5"/>
  <c r="C932" i="5" s="1"/>
  <c r="D930" i="5"/>
  <c r="R929" i="5" s="1"/>
  <c r="E930" i="5"/>
  <c r="C930" i="5" s="1"/>
  <c r="J930" i="5"/>
  <c r="D928" i="5"/>
  <c r="R927" i="5" s="1"/>
  <c r="E928" i="5"/>
  <c r="D926" i="5"/>
  <c r="R925" i="5" s="1"/>
  <c r="E926" i="5"/>
  <c r="AC932" i="5"/>
  <c r="AC930" i="5"/>
  <c r="AC928" i="5"/>
  <c r="AC926" i="5"/>
  <c r="D924" i="5"/>
  <c r="R923" i="5" s="1"/>
  <c r="E924" i="5"/>
  <c r="J924" i="5"/>
  <c r="AC924" i="5"/>
  <c r="D922" i="5"/>
  <c r="R921" i="5" s="1"/>
  <c r="E922" i="5"/>
  <c r="D920" i="5"/>
  <c r="R919" i="5" s="1"/>
  <c r="E920" i="5"/>
  <c r="D918" i="5"/>
  <c r="R917" i="5" s="1"/>
  <c r="E918" i="5"/>
  <c r="C918" i="5" s="1"/>
  <c r="D916" i="5"/>
  <c r="R915" i="5" s="1"/>
  <c r="E916" i="5"/>
  <c r="AC922" i="5"/>
  <c r="AC920" i="5"/>
  <c r="AC918" i="5"/>
  <c r="AC916" i="5"/>
  <c r="D914" i="5"/>
  <c r="R913" i="5" s="1"/>
  <c r="E914" i="5"/>
  <c r="K914" i="5"/>
  <c r="N914" i="5" s="1"/>
  <c r="AC914" i="5"/>
  <c r="D912" i="5"/>
  <c r="R911" i="5" s="1"/>
  <c r="E912" i="5"/>
  <c r="D910" i="5"/>
  <c r="R909" i="5" s="1"/>
  <c r="E910" i="5"/>
  <c r="K910" i="5"/>
  <c r="N910" i="5" s="1"/>
  <c r="D908" i="5"/>
  <c r="R907" i="5" s="1"/>
  <c r="E908" i="5"/>
  <c r="C908" i="5" s="1"/>
  <c r="D906" i="5"/>
  <c r="R905" i="5" s="1"/>
  <c r="E906" i="5"/>
  <c r="C906" i="5" s="1"/>
  <c r="J906" i="5"/>
  <c r="D904" i="5"/>
  <c r="R903" i="5" s="1"/>
  <c r="E904" i="5"/>
  <c r="AC912" i="5"/>
  <c r="AC910" i="5"/>
  <c r="AC908" i="5"/>
  <c r="AC906" i="5"/>
  <c r="AC904" i="5"/>
  <c r="D902" i="5"/>
  <c r="R901" i="5" s="1"/>
  <c r="E902" i="5"/>
  <c r="C902" i="5" s="1"/>
  <c r="K902" i="5"/>
  <c r="D900" i="5"/>
  <c r="R899" i="5" s="1"/>
  <c r="E900" i="5"/>
  <c r="D898" i="5"/>
  <c r="R897" i="5" s="1"/>
  <c r="E898" i="5"/>
  <c r="C898" i="5" s="1"/>
  <c r="D896" i="5"/>
  <c r="R895" i="5" s="1"/>
  <c r="E896" i="5"/>
  <c r="K896" i="5"/>
  <c r="N896" i="5" s="1"/>
  <c r="D894" i="5"/>
  <c r="R893" i="5" s="1"/>
  <c r="E894" i="5"/>
  <c r="J894" i="5"/>
  <c r="AC902" i="5"/>
  <c r="AC900" i="5"/>
  <c r="AC898" i="5"/>
  <c r="AC894" i="5"/>
  <c r="V887" i="5"/>
  <c r="D869" i="5"/>
  <c r="R868" i="5" s="1"/>
  <c r="E869" i="5"/>
  <c r="C869" i="5" s="1"/>
  <c r="D867" i="5"/>
  <c r="R866" i="5" s="1"/>
  <c r="E867" i="5"/>
  <c r="D865" i="5"/>
  <c r="R864" i="5" s="1"/>
  <c r="E865" i="5"/>
  <c r="C865" i="5" s="1"/>
  <c r="D863" i="5"/>
  <c r="R862" i="5" s="1"/>
  <c r="E863" i="5"/>
  <c r="J863" i="5"/>
  <c r="AC869" i="5"/>
  <c r="AC868" i="5"/>
  <c r="M868" i="5"/>
  <c r="L868" i="5"/>
  <c r="K868" i="5"/>
  <c r="J868" i="5"/>
  <c r="H868" i="5"/>
  <c r="AC867" i="5"/>
  <c r="AC866" i="5"/>
  <c r="M866" i="5"/>
  <c r="L866" i="5"/>
  <c r="K866" i="5"/>
  <c r="J866" i="5"/>
  <c r="H866" i="5"/>
  <c r="AC865" i="5"/>
  <c r="AC864" i="5"/>
  <c r="M864" i="5"/>
  <c r="L864" i="5"/>
  <c r="K864" i="5"/>
  <c r="J864" i="5"/>
  <c r="H864" i="5"/>
  <c r="AC863" i="5"/>
  <c r="AC862" i="5"/>
  <c r="M862" i="5"/>
  <c r="L862" i="5"/>
  <c r="K862" i="5"/>
  <c r="J862" i="5"/>
  <c r="H862" i="5"/>
  <c r="D861" i="5"/>
  <c r="R860" i="5" s="1"/>
  <c r="E861" i="5"/>
  <c r="AC861" i="5"/>
  <c r="AC860" i="5"/>
  <c r="M860" i="5"/>
  <c r="L860" i="5"/>
  <c r="K860" i="5"/>
  <c r="J860" i="5"/>
  <c r="H860" i="5"/>
  <c r="D859" i="5"/>
  <c r="R858" i="5" s="1"/>
  <c r="E859" i="5"/>
  <c r="C859" i="5" s="1"/>
  <c r="D857" i="5"/>
  <c r="R856" i="5" s="1"/>
  <c r="E857" i="5"/>
  <c r="K857" i="5"/>
  <c r="N857" i="5" s="1"/>
  <c r="D855" i="5"/>
  <c r="R854" i="5" s="1"/>
  <c r="E855" i="5"/>
  <c r="D853" i="5"/>
  <c r="R852" i="5" s="1"/>
  <c r="E853" i="5"/>
  <c r="AC859" i="5"/>
  <c r="AC858" i="5"/>
  <c r="M858" i="5"/>
  <c r="L858" i="5"/>
  <c r="K858" i="5"/>
  <c r="J858" i="5"/>
  <c r="H858" i="5"/>
  <c r="AC857" i="5"/>
  <c r="AC856" i="5"/>
  <c r="M856" i="5"/>
  <c r="L856" i="5"/>
  <c r="K856" i="5"/>
  <c r="J856" i="5"/>
  <c r="H856" i="5"/>
  <c r="AC855" i="5"/>
  <c r="AC854" i="5"/>
  <c r="M854" i="5"/>
  <c r="L854" i="5"/>
  <c r="K854" i="5"/>
  <c r="J854" i="5"/>
  <c r="H854" i="5"/>
  <c r="AC853" i="5"/>
  <c r="AC852" i="5"/>
  <c r="M852" i="5"/>
  <c r="L852" i="5"/>
  <c r="K852" i="5"/>
  <c r="J852" i="5"/>
  <c r="H852" i="5"/>
  <c r="D851" i="5"/>
  <c r="R850" i="5" s="1"/>
  <c r="E851" i="5"/>
  <c r="J851" i="5"/>
  <c r="AC851" i="5"/>
  <c r="AC850" i="5"/>
  <c r="M850" i="5"/>
  <c r="L850" i="5"/>
  <c r="K850" i="5"/>
  <c r="J850" i="5"/>
  <c r="H850" i="5"/>
  <c r="D849" i="5"/>
  <c r="R848" i="5" s="1"/>
  <c r="E849" i="5"/>
  <c r="C849" i="5" s="1"/>
  <c r="D847" i="5"/>
  <c r="R846" i="5" s="1"/>
  <c r="E847" i="5"/>
  <c r="D845" i="5"/>
  <c r="R844" i="5" s="1"/>
  <c r="E845" i="5"/>
  <c r="D843" i="5"/>
  <c r="R842" i="5" s="1"/>
  <c r="E843" i="5"/>
  <c r="C843" i="5" s="1"/>
  <c r="K843" i="5"/>
  <c r="N843" i="5" s="1"/>
  <c r="AC849" i="5"/>
  <c r="AC848" i="5"/>
  <c r="M848" i="5"/>
  <c r="L848" i="5"/>
  <c r="K848" i="5"/>
  <c r="J848" i="5"/>
  <c r="H848" i="5"/>
  <c r="AC847" i="5"/>
  <c r="AC846" i="5"/>
  <c r="M846" i="5"/>
  <c r="L846" i="5"/>
  <c r="K846" i="5"/>
  <c r="J846" i="5"/>
  <c r="H846" i="5"/>
  <c r="AC845" i="5"/>
  <c r="AC844" i="5"/>
  <c r="M844" i="5"/>
  <c r="L844" i="5"/>
  <c r="K844" i="5"/>
  <c r="J844" i="5"/>
  <c r="H844" i="5"/>
  <c r="AC843" i="5"/>
  <c r="AC842" i="5"/>
  <c r="M842" i="5"/>
  <c r="L842" i="5"/>
  <c r="K842" i="5"/>
  <c r="J842" i="5"/>
  <c r="H842" i="5"/>
  <c r="D841" i="5"/>
  <c r="R840" i="5" s="1"/>
  <c r="E841" i="5"/>
  <c r="AC841" i="5"/>
  <c r="AC840" i="5"/>
  <c r="M840" i="5"/>
  <c r="L840" i="5"/>
  <c r="K840" i="5"/>
  <c r="J840" i="5"/>
  <c r="H840" i="5"/>
  <c r="D839" i="5"/>
  <c r="R838" i="5" s="1"/>
  <c r="E839" i="5"/>
  <c r="D837" i="5"/>
  <c r="R836" i="5" s="1"/>
  <c r="E837" i="5"/>
  <c r="K837" i="5"/>
  <c r="N837" i="5" s="1"/>
  <c r="D835" i="5"/>
  <c r="R834" i="5" s="1"/>
  <c r="E835" i="5"/>
  <c r="K835" i="5"/>
  <c r="N835" i="5" s="1"/>
  <c r="D833" i="5"/>
  <c r="R832" i="5" s="1"/>
  <c r="E833" i="5"/>
  <c r="C833" i="5" s="1"/>
  <c r="AC839" i="5"/>
  <c r="AC838" i="5"/>
  <c r="M838" i="5"/>
  <c r="L838" i="5"/>
  <c r="K838" i="5"/>
  <c r="J838" i="5"/>
  <c r="H838" i="5"/>
  <c r="AC837" i="5"/>
  <c r="AC836" i="5"/>
  <c r="M836" i="5"/>
  <c r="L836" i="5"/>
  <c r="K836" i="5"/>
  <c r="J836" i="5"/>
  <c r="H836" i="5"/>
  <c r="AC835" i="5"/>
  <c r="AC834" i="5"/>
  <c r="M834" i="5"/>
  <c r="L834" i="5"/>
  <c r="K834" i="5"/>
  <c r="J834" i="5"/>
  <c r="H834" i="5"/>
  <c r="AC833" i="5"/>
  <c r="AC832" i="5"/>
  <c r="M832" i="5"/>
  <c r="L832" i="5"/>
  <c r="K832" i="5"/>
  <c r="J832" i="5"/>
  <c r="H832" i="5"/>
  <c r="D831" i="5"/>
  <c r="R830" i="5" s="1"/>
  <c r="E831" i="5"/>
  <c r="AC831" i="5"/>
  <c r="AC830" i="5"/>
  <c r="M830" i="5"/>
  <c r="L830" i="5"/>
  <c r="K830" i="5"/>
  <c r="J830" i="5"/>
  <c r="H830" i="5"/>
  <c r="D829" i="5"/>
  <c r="R828" i="5" s="1"/>
  <c r="E829" i="5"/>
  <c r="D827" i="5"/>
  <c r="R826" i="5" s="1"/>
  <c r="E827" i="5"/>
  <c r="C827" i="5" s="1"/>
  <c r="J827" i="5"/>
  <c r="D825" i="5"/>
  <c r="R824" i="5" s="1"/>
  <c r="E825" i="5"/>
  <c r="D823" i="5"/>
  <c r="R822" i="5" s="1"/>
  <c r="E823" i="5"/>
  <c r="C823" i="5" s="1"/>
  <c r="AC829" i="5"/>
  <c r="AC828" i="5"/>
  <c r="M828" i="5"/>
  <c r="L828" i="5"/>
  <c r="K828" i="5"/>
  <c r="J828" i="5"/>
  <c r="H828" i="5"/>
  <c r="AC827" i="5"/>
  <c r="AC826" i="5"/>
  <c r="M826" i="5"/>
  <c r="L826" i="5"/>
  <c r="K826" i="5"/>
  <c r="J826" i="5"/>
  <c r="H826" i="5"/>
  <c r="AC825" i="5"/>
  <c r="AC824" i="5"/>
  <c r="M824" i="5"/>
  <c r="L824" i="5"/>
  <c r="K824" i="5"/>
  <c r="J824" i="5"/>
  <c r="H824" i="5"/>
  <c r="AC823" i="5"/>
  <c r="AC822" i="5"/>
  <c r="M822" i="5"/>
  <c r="L822" i="5"/>
  <c r="K822" i="5"/>
  <c r="J822" i="5"/>
  <c r="H822" i="5"/>
  <c r="D821" i="5"/>
  <c r="R820" i="5" s="1"/>
  <c r="E821" i="5"/>
  <c r="AC821" i="5"/>
  <c r="AC820" i="5"/>
  <c r="M820" i="5"/>
  <c r="L820" i="5"/>
  <c r="K820" i="5"/>
  <c r="J820" i="5"/>
  <c r="H820" i="5"/>
  <c r="AC819" i="5"/>
  <c r="R818" i="5"/>
  <c r="AC818" i="5"/>
  <c r="M818" i="5"/>
  <c r="L818" i="5"/>
  <c r="K818" i="5"/>
  <c r="J818" i="5"/>
  <c r="H818" i="5"/>
  <c r="AC817" i="5"/>
  <c r="R816" i="5"/>
  <c r="AC816" i="5"/>
  <c r="M816" i="5"/>
  <c r="L816" i="5"/>
  <c r="K816" i="5"/>
  <c r="J816" i="5"/>
  <c r="H816" i="5"/>
  <c r="AC815" i="5"/>
  <c r="R814" i="5"/>
  <c r="AC814" i="5"/>
  <c r="M814" i="5"/>
  <c r="L814" i="5"/>
  <c r="K814" i="5"/>
  <c r="J814" i="5"/>
  <c r="H814" i="5"/>
  <c r="AC813" i="5"/>
  <c r="R812" i="5"/>
  <c r="AC812" i="5"/>
  <c r="M812" i="5"/>
  <c r="L812" i="5"/>
  <c r="K812" i="5"/>
  <c r="J812" i="5"/>
  <c r="H812" i="5"/>
  <c r="D811" i="5"/>
  <c r="R810" i="5" s="1"/>
  <c r="E811" i="5"/>
  <c r="V794" i="5"/>
  <c r="V869" i="5" s="1"/>
  <c r="D809" i="5"/>
  <c r="R808" i="5" s="1"/>
  <c r="E809" i="5"/>
  <c r="D807" i="5"/>
  <c r="R806" i="5" s="1"/>
  <c r="E807" i="5"/>
  <c r="D805" i="5"/>
  <c r="R804" i="5" s="1"/>
  <c r="E805" i="5"/>
  <c r="D803" i="5"/>
  <c r="R802" i="5" s="1"/>
  <c r="E803" i="5"/>
  <c r="C803" i="5" s="1"/>
  <c r="AC809" i="5"/>
  <c r="AC807" i="5"/>
  <c r="AB807" i="5"/>
  <c r="AC805" i="5"/>
  <c r="AC803" i="5"/>
  <c r="D801" i="5"/>
  <c r="R800" i="5" s="1"/>
  <c r="E801" i="5"/>
  <c r="D775" i="5"/>
  <c r="R774" i="5" s="1"/>
  <c r="E775" i="5"/>
  <c r="D773" i="5"/>
  <c r="R772" i="5" s="1"/>
  <c r="E773" i="5"/>
  <c r="D771" i="5"/>
  <c r="R770" i="5" s="1"/>
  <c r="E771" i="5"/>
  <c r="C771" i="5" s="1"/>
  <c r="D769" i="5"/>
  <c r="R768" i="5" s="1"/>
  <c r="E769" i="5"/>
  <c r="AC775" i="5"/>
  <c r="AB775" i="5"/>
  <c r="AC773" i="5"/>
  <c r="AB773" i="5"/>
  <c r="AC771" i="5"/>
  <c r="AB771" i="5"/>
  <c r="AC769" i="5"/>
  <c r="AB769" i="5"/>
  <c r="D767" i="5"/>
  <c r="R766" i="5" s="1"/>
  <c r="E767" i="5"/>
  <c r="AC767" i="5"/>
  <c r="AB767" i="5"/>
  <c r="D765" i="5"/>
  <c r="R764" i="5" s="1"/>
  <c r="E765" i="5"/>
  <c r="D763" i="5"/>
  <c r="R762" i="5" s="1"/>
  <c r="E763" i="5"/>
  <c r="D761" i="5"/>
  <c r="R760" i="5" s="1"/>
  <c r="E761" i="5"/>
  <c r="D759" i="5"/>
  <c r="R758" i="5" s="1"/>
  <c r="E759" i="5"/>
  <c r="C759" i="5" s="1"/>
  <c r="AC765" i="5"/>
  <c r="AB765" i="5"/>
  <c r="AC763" i="5"/>
  <c r="AB763" i="5"/>
  <c r="AC761" i="5"/>
  <c r="AB761" i="5"/>
  <c r="AC759" i="5"/>
  <c r="AB759" i="5"/>
  <c r="D757" i="5"/>
  <c r="R756" i="5" s="1"/>
  <c r="E757" i="5"/>
  <c r="AC757" i="5"/>
  <c r="AB757" i="5"/>
  <c r="D755" i="5"/>
  <c r="R754" i="5" s="1"/>
  <c r="E755" i="5"/>
  <c r="D753" i="5"/>
  <c r="R752" i="5" s="1"/>
  <c r="E753" i="5"/>
  <c r="C753" i="5" s="1"/>
  <c r="D751" i="5"/>
  <c r="R750" i="5" s="1"/>
  <c r="E751" i="5"/>
  <c r="D749" i="5"/>
  <c r="R748" i="5" s="1"/>
  <c r="E749" i="5"/>
  <c r="AC755" i="5"/>
  <c r="AB755" i="5"/>
  <c r="AC753" i="5"/>
  <c r="AB753" i="5"/>
  <c r="AC751" i="5"/>
  <c r="AB751" i="5"/>
  <c r="AC749" i="5"/>
  <c r="AB749" i="5"/>
  <c r="D747" i="5"/>
  <c r="R746" i="5" s="1"/>
  <c r="E747" i="5"/>
  <c r="J747" i="5"/>
  <c r="D745" i="5"/>
  <c r="R744" i="5" s="1"/>
  <c r="E745" i="5"/>
  <c r="C745" i="5" s="1"/>
  <c r="K745" i="5"/>
  <c r="N745" i="5" s="1"/>
  <c r="D743" i="5"/>
  <c r="R742" i="5" s="1"/>
  <c r="E743" i="5"/>
  <c r="D741" i="5"/>
  <c r="R740" i="5" s="1"/>
  <c r="E741" i="5"/>
  <c r="K741" i="5"/>
  <c r="N741" i="5" s="1"/>
  <c r="D739" i="5"/>
  <c r="R738" i="5" s="1"/>
  <c r="E739" i="5"/>
  <c r="K739" i="5"/>
  <c r="N739" i="5" s="1"/>
  <c r="AC745" i="5"/>
  <c r="AB745" i="5"/>
  <c r="AC743" i="5"/>
  <c r="AB743" i="5"/>
  <c r="AC741" i="5"/>
  <c r="AB741" i="5"/>
  <c r="AC739" i="5"/>
  <c r="AB739" i="5"/>
  <c r="D737" i="5"/>
  <c r="R736" i="5" s="1"/>
  <c r="E737" i="5"/>
  <c r="C737" i="5" s="1"/>
  <c r="AC737" i="5"/>
  <c r="AB737" i="5"/>
  <c r="D735" i="5"/>
  <c r="R734" i="5" s="1"/>
  <c r="E735" i="5"/>
  <c r="C735" i="5" s="1"/>
  <c r="D733" i="5"/>
  <c r="R732" i="5" s="1"/>
  <c r="E733" i="5"/>
  <c r="J733" i="5"/>
  <c r="D731" i="5"/>
  <c r="R730" i="5" s="1"/>
  <c r="E731" i="5"/>
  <c r="D729" i="5"/>
  <c r="R728" i="5" s="1"/>
  <c r="E729" i="5"/>
  <c r="C729" i="5" s="1"/>
  <c r="AC735" i="5"/>
  <c r="AB735" i="5"/>
  <c r="AC733" i="5"/>
  <c r="AB733" i="5"/>
  <c r="AC731" i="5"/>
  <c r="AB731" i="5"/>
  <c r="AC729" i="5"/>
  <c r="AB729" i="5"/>
  <c r="D727" i="5"/>
  <c r="R726" i="5" s="1"/>
  <c r="E727" i="5"/>
  <c r="D725" i="5"/>
  <c r="R724" i="5" s="1"/>
  <c r="E725" i="5"/>
  <c r="D723" i="5"/>
  <c r="R722" i="5" s="1"/>
  <c r="E723" i="5"/>
  <c r="D721" i="5"/>
  <c r="R720" i="5" s="1"/>
  <c r="E721" i="5"/>
  <c r="C721" i="5" s="1"/>
  <c r="D719" i="5"/>
  <c r="R718" i="5" s="1"/>
  <c r="E719" i="5"/>
  <c r="J719" i="5"/>
  <c r="AC725" i="5"/>
  <c r="AC723" i="5"/>
  <c r="AC721" i="5"/>
  <c r="AC719" i="5"/>
  <c r="D717" i="5"/>
  <c r="R716" i="5" s="1"/>
  <c r="E717" i="5"/>
  <c r="D715" i="5"/>
  <c r="R714" i="5" s="1"/>
  <c r="E715" i="5"/>
  <c r="D713" i="5"/>
  <c r="R712" i="5" s="1"/>
  <c r="E713" i="5"/>
  <c r="D711" i="5"/>
  <c r="R710" i="5" s="1"/>
  <c r="E711" i="5"/>
  <c r="C711" i="5" s="1"/>
  <c r="D709" i="5"/>
  <c r="R708" i="5" s="1"/>
  <c r="E709" i="5"/>
  <c r="K709" i="5"/>
  <c r="N709" i="5" s="1"/>
  <c r="AC715" i="5"/>
  <c r="AC713" i="5"/>
  <c r="AC711" i="5"/>
  <c r="AB711" i="5"/>
  <c r="AC709" i="5"/>
  <c r="D707" i="5"/>
  <c r="R706" i="5" s="1"/>
  <c r="E707" i="5"/>
  <c r="V700" i="5"/>
  <c r="V781" i="5" s="1"/>
  <c r="Q614" i="5"/>
  <c r="Q616" i="5"/>
  <c r="Q618" i="5"/>
  <c r="Q620" i="5"/>
  <c r="Q622" i="5"/>
  <c r="Q624" i="5"/>
  <c r="Q626" i="5"/>
  <c r="Q628" i="5"/>
  <c r="Q630" i="5"/>
  <c r="Q632" i="5"/>
  <c r="Q634" i="5"/>
  <c r="Q636" i="5"/>
  <c r="Q638" i="5"/>
  <c r="Q640" i="5"/>
  <c r="Q642" i="5"/>
  <c r="Q644" i="5"/>
  <c r="Q646" i="5"/>
  <c r="Q648" i="5"/>
  <c r="Q650" i="5"/>
  <c r="Q652" i="5"/>
  <c r="Q654" i="5"/>
  <c r="Q656" i="5"/>
  <c r="Q658" i="5"/>
  <c r="Q660" i="5"/>
  <c r="Q662" i="5"/>
  <c r="Q664" i="5"/>
  <c r="Q666" i="5"/>
  <c r="Q668" i="5"/>
  <c r="Q670" i="5"/>
  <c r="Q672" i="5"/>
  <c r="Q674" i="5"/>
  <c r="Q676" i="5"/>
  <c r="Q678" i="5"/>
  <c r="Q680" i="5"/>
  <c r="D681" i="5"/>
  <c r="R680" i="5" s="1"/>
  <c r="E681" i="5"/>
  <c r="D679" i="5"/>
  <c r="R678" i="5" s="1"/>
  <c r="E679" i="5"/>
  <c r="D677" i="5"/>
  <c r="R676" i="5" s="1"/>
  <c r="E677" i="5"/>
  <c r="C677" i="5" s="1"/>
  <c r="D675" i="5"/>
  <c r="R674" i="5" s="1"/>
  <c r="E675" i="5"/>
  <c r="AC681" i="5"/>
  <c r="AB681" i="5"/>
  <c r="AC679" i="5"/>
  <c r="AB679" i="5"/>
  <c r="AC677" i="5"/>
  <c r="AB677" i="5"/>
  <c r="AC675" i="5"/>
  <c r="AB675" i="5"/>
  <c r="D673" i="5"/>
  <c r="R672" i="5" s="1"/>
  <c r="E673" i="5"/>
  <c r="AC673" i="5"/>
  <c r="AB673" i="5"/>
  <c r="D671" i="5"/>
  <c r="R670" i="5" s="1"/>
  <c r="E671" i="5"/>
  <c r="C671" i="5" s="1"/>
  <c r="D669" i="5"/>
  <c r="R668" i="5" s="1"/>
  <c r="E669" i="5"/>
  <c r="D667" i="5"/>
  <c r="R666" i="5" s="1"/>
  <c r="E667" i="5"/>
  <c r="C667" i="5" s="1"/>
  <c r="D665" i="5"/>
  <c r="R664" i="5" s="1"/>
  <c r="E665" i="5"/>
  <c r="C665" i="5" s="1"/>
  <c r="J665" i="5"/>
  <c r="AC671" i="5"/>
  <c r="AB671" i="5"/>
  <c r="AC669" i="5"/>
  <c r="AB669" i="5"/>
  <c r="AC667" i="5"/>
  <c r="AB667" i="5"/>
  <c r="AC665" i="5"/>
  <c r="AB665" i="5"/>
  <c r="D663" i="5"/>
  <c r="R662" i="5" s="1"/>
  <c r="E663" i="5"/>
  <c r="C663" i="5" s="1"/>
  <c r="AC663" i="5"/>
  <c r="AB663" i="5"/>
  <c r="D661" i="5"/>
  <c r="R660" i="5" s="1"/>
  <c r="E661" i="5"/>
  <c r="C661" i="5" s="1"/>
  <c r="D659" i="5"/>
  <c r="R658" i="5" s="1"/>
  <c r="E659" i="5"/>
  <c r="C659" i="5" s="1"/>
  <c r="D657" i="5"/>
  <c r="R656" i="5" s="1"/>
  <c r="E657" i="5"/>
  <c r="J657" i="5"/>
  <c r="D655" i="5"/>
  <c r="R654" i="5" s="1"/>
  <c r="E655" i="5"/>
  <c r="C655" i="5" s="1"/>
  <c r="AC661" i="5"/>
  <c r="AB661" i="5"/>
  <c r="AC659" i="5"/>
  <c r="AB659" i="5"/>
  <c r="AC657" i="5"/>
  <c r="AB657" i="5"/>
  <c r="AC655" i="5"/>
  <c r="AB655" i="5"/>
  <c r="D653" i="5"/>
  <c r="R652" i="5" s="1"/>
  <c r="E653" i="5"/>
  <c r="C653" i="5" s="1"/>
  <c r="AC653" i="5"/>
  <c r="AB653" i="5"/>
  <c r="D649" i="5"/>
  <c r="R648" i="5" s="1"/>
  <c r="E649" i="5"/>
  <c r="D647" i="5"/>
  <c r="R646" i="5" s="1"/>
  <c r="E647" i="5"/>
  <c r="D645" i="5"/>
  <c r="R644" i="5" s="1"/>
  <c r="E645" i="5"/>
  <c r="J645" i="5"/>
  <c r="AC651" i="5"/>
  <c r="AB651" i="5"/>
  <c r="D651" i="5"/>
  <c r="R650" i="5" s="1"/>
  <c r="E651" i="5"/>
  <c r="C651" i="5" s="1"/>
  <c r="AC649" i="5"/>
  <c r="AB649" i="5"/>
  <c r="AC647" i="5"/>
  <c r="AB647" i="5"/>
  <c r="AC645" i="5"/>
  <c r="AB645" i="5"/>
  <c r="D643" i="5"/>
  <c r="R642" i="5" s="1"/>
  <c r="E643" i="5"/>
  <c r="AC643" i="5"/>
  <c r="AB643" i="5"/>
  <c r="D641" i="5"/>
  <c r="R640" i="5" s="1"/>
  <c r="E641" i="5"/>
  <c r="D639" i="5"/>
  <c r="R638" i="5" s="1"/>
  <c r="E639" i="5"/>
  <c r="D637" i="5"/>
  <c r="R636" i="5" s="1"/>
  <c r="E637" i="5"/>
  <c r="D635" i="5"/>
  <c r="R634" i="5" s="1"/>
  <c r="E635" i="5"/>
  <c r="AC641" i="5"/>
  <c r="AB641" i="5"/>
  <c r="AC639" i="5"/>
  <c r="AB639" i="5"/>
  <c r="AC637" i="5"/>
  <c r="AB637" i="5"/>
  <c r="AC635" i="5"/>
  <c r="AB635" i="5"/>
  <c r="V606" i="5"/>
  <c r="D633" i="5"/>
  <c r="R632" i="5" s="1"/>
  <c r="E633" i="5"/>
  <c r="J633" i="5"/>
  <c r="AC633" i="5"/>
  <c r="AB633" i="5"/>
  <c r="D631" i="5"/>
  <c r="R630" i="5" s="1"/>
  <c r="E631" i="5"/>
  <c r="D629" i="5"/>
  <c r="R628" i="5" s="1"/>
  <c r="E629" i="5"/>
  <c r="D627" i="5"/>
  <c r="R626" i="5" s="1"/>
  <c r="E627" i="5"/>
  <c r="C627" i="5" s="1"/>
  <c r="D625" i="5"/>
  <c r="R624" i="5" s="1"/>
  <c r="E625" i="5"/>
  <c r="AC631" i="5"/>
  <c r="AB631" i="5"/>
  <c r="AC629" i="5"/>
  <c r="AB629" i="5"/>
  <c r="AC627" i="5"/>
  <c r="AB627" i="5"/>
  <c r="AC625" i="5"/>
  <c r="AB625" i="5"/>
  <c r="D623" i="5"/>
  <c r="R622" i="5" s="1"/>
  <c r="E623" i="5"/>
  <c r="D621" i="5"/>
  <c r="R620" i="5" s="1"/>
  <c r="E621" i="5"/>
  <c r="D619" i="5"/>
  <c r="R618" i="5" s="1"/>
  <c r="E619" i="5"/>
  <c r="C619" i="5" s="1"/>
  <c r="D617" i="5"/>
  <c r="R616" i="5" s="1"/>
  <c r="E617" i="5"/>
  <c r="D615" i="5"/>
  <c r="R614" i="5" s="1"/>
  <c r="E615" i="5"/>
  <c r="C615" i="5" s="1"/>
  <c r="M615" i="5" s="1"/>
  <c r="Q615" i="5" s="1"/>
  <c r="AC623" i="5"/>
  <c r="D613" i="5"/>
  <c r="R612" i="5" s="1"/>
  <c r="E613" i="5"/>
  <c r="AC621" i="5"/>
  <c r="AB621" i="5"/>
  <c r="AC619" i="5"/>
  <c r="AC617" i="5"/>
  <c r="AC615" i="5"/>
  <c r="D590" i="5"/>
  <c r="R589" i="5" s="1"/>
  <c r="E590" i="5"/>
  <c r="D588" i="5"/>
  <c r="R587" i="5" s="1"/>
  <c r="E588" i="5"/>
  <c r="C588" i="5" s="1"/>
  <c r="D586" i="5"/>
  <c r="R585" i="5" s="1"/>
  <c r="E586" i="5"/>
  <c r="J586" i="5"/>
  <c r="D584" i="5"/>
  <c r="R583" i="5" s="1"/>
  <c r="E584" i="5"/>
  <c r="C584" i="5" s="1"/>
  <c r="AC590" i="5"/>
  <c r="AC588" i="5"/>
  <c r="AC586" i="5"/>
  <c r="AC584" i="5"/>
  <c r="D580" i="5"/>
  <c r="R579" i="5" s="1"/>
  <c r="E580" i="5"/>
  <c r="J580" i="5"/>
  <c r="D578" i="5"/>
  <c r="R577" i="5" s="1"/>
  <c r="E578" i="5"/>
  <c r="D576" i="5"/>
  <c r="R575" i="5" s="1"/>
  <c r="E576" i="5"/>
  <c r="C576" i="5" s="1"/>
  <c r="J576" i="5"/>
  <c r="D574" i="5"/>
  <c r="R573" i="5" s="1"/>
  <c r="E574" i="5"/>
  <c r="D582" i="5"/>
  <c r="R581" i="5" s="1"/>
  <c r="E582" i="5"/>
  <c r="AC582" i="5"/>
  <c r="AC580" i="5"/>
  <c r="AC578" i="5"/>
  <c r="AC576" i="5"/>
  <c r="AC574" i="5"/>
  <c r="D572" i="5"/>
  <c r="R571" i="5" s="1"/>
  <c r="E572" i="5"/>
  <c r="D570" i="5"/>
  <c r="R569" i="5" s="1"/>
  <c r="E570" i="5"/>
  <c r="D568" i="5"/>
  <c r="R567" i="5" s="1"/>
  <c r="E568" i="5"/>
  <c r="C568" i="5" s="1"/>
  <c r="D566" i="5"/>
  <c r="R565" i="5" s="1"/>
  <c r="E566" i="5"/>
  <c r="J566" i="5"/>
  <c r="D564" i="5"/>
  <c r="R563" i="5" s="1"/>
  <c r="E564" i="5"/>
  <c r="C564" i="5" s="1"/>
  <c r="K564" i="5"/>
  <c r="N564" i="5" s="1"/>
  <c r="AC570" i="5"/>
  <c r="AC568" i="5"/>
  <c r="AC566" i="5"/>
  <c r="AC564" i="5"/>
  <c r="D562" i="5"/>
  <c r="R561" i="5" s="1"/>
  <c r="E562" i="5"/>
  <c r="J562" i="5"/>
  <c r="D560" i="5"/>
  <c r="R559" i="5" s="1"/>
  <c r="E560" i="5"/>
  <c r="J560" i="5"/>
  <c r="D558" i="5"/>
  <c r="R557" i="5" s="1"/>
  <c r="E558" i="5"/>
  <c r="D556" i="5"/>
  <c r="R555" i="5" s="1"/>
  <c r="E556" i="5"/>
  <c r="D554" i="5"/>
  <c r="R553" i="5" s="1"/>
  <c r="E554" i="5"/>
  <c r="AC560" i="5"/>
  <c r="AC558" i="5"/>
  <c r="AC556" i="5"/>
  <c r="AC554" i="5"/>
  <c r="D552" i="5"/>
  <c r="R551" i="5" s="1"/>
  <c r="E552" i="5"/>
  <c r="D550" i="5"/>
  <c r="R549" i="5" s="1"/>
  <c r="E550" i="5"/>
  <c r="D548" i="5"/>
  <c r="R547" i="5" s="1"/>
  <c r="E548" i="5"/>
  <c r="D546" i="5"/>
  <c r="R545" i="5" s="1"/>
  <c r="E546" i="5"/>
  <c r="C546" i="5" s="1"/>
  <c r="D544" i="5"/>
  <c r="R543" i="5" s="1"/>
  <c r="E544" i="5"/>
  <c r="J544" i="5"/>
  <c r="AC550" i="5"/>
  <c r="AC548" i="5"/>
  <c r="AC546" i="5"/>
  <c r="AC544" i="5"/>
  <c r="D542" i="5"/>
  <c r="R541" i="5" s="1"/>
  <c r="E542" i="5"/>
  <c r="C542" i="5" s="1"/>
  <c r="D540" i="5"/>
  <c r="R539" i="5" s="1"/>
  <c r="E540" i="5"/>
  <c r="C540" i="5" s="1"/>
  <c r="D538" i="5"/>
  <c r="R537" i="5" s="1"/>
  <c r="E538" i="5"/>
  <c r="D536" i="5"/>
  <c r="R535" i="5" s="1"/>
  <c r="E536" i="5"/>
  <c r="D534" i="5"/>
  <c r="R533" i="5" s="1"/>
  <c r="E534" i="5"/>
  <c r="C534" i="5" s="1"/>
  <c r="AC540" i="5"/>
  <c r="AB540" i="5"/>
  <c r="AC538" i="5"/>
  <c r="AB538" i="5"/>
  <c r="AC536" i="5"/>
  <c r="AB536" i="5"/>
  <c r="AC534" i="5"/>
  <c r="AB534" i="5"/>
  <c r="D530" i="5"/>
  <c r="R529" i="5" s="1"/>
  <c r="E530" i="5"/>
  <c r="C530" i="5" s="1"/>
  <c r="J530" i="5"/>
  <c r="D528" i="5"/>
  <c r="R527" i="5" s="1"/>
  <c r="E528" i="5"/>
  <c r="C528" i="5" s="1"/>
  <c r="K528" i="5"/>
  <c r="N528" i="5" s="1"/>
  <c r="D526" i="5"/>
  <c r="R525" i="5" s="1"/>
  <c r="D524" i="5"/>
  <c r="R523" i="5" s="1"/>
  <c r="J524" i="5"/>
  <c r="D532" i="5"/>
  <c r="R531" i="5" s="1"/>
  <c r="E532" i="5"/>
  <c r="C532" i="5" s="1"/>
  <c r="V515" i="5"/>
  <c r="V590" i="5" s="1"/>
  <c r="AC532" i="5"/>
  <c r="AB532" i="5"/>
  <c r="D522" i="5"/>
  <c r="R521" i="5" s="1"/>
  <c r="J522" i="5"/>
  <c r="AC530" i="5"/>
  <c r="AB530" i="5"/>
  <c r="AC528" i="5"/>
  <c r="AB528" i="5"/>
  <c r="AC526" i="5"/>
  <c r="AB526" i="5"/>
  <c r="AC524" i="5"/>
  <c r="AB524" i="5"/>
  <c r="D498" i="5"/>
  <c r="R497" i="5" s="1"/>
  <c r="E498" i="5"/>
  <c r="J498" i="5"/>
  <c r="D496" i="5"/>
  <c r="R495" i="5" s="1"/>
  <c r="E496" i="5"/>
  <c r="C496" i="5" s="1"/>
  <c r="D494" i="5"/>
  <c r="R493" i="5" s="1"/>
  <c r="E494" i="5"/>
  <c r="D492" i="5"/>
  <c r="R491" i="5" s="1"/>
  <c r="E492" i="5"/>
  <c r="D490" i="5"/>
  <c r="R489" i="5" s="1"/>
  <c r="E490" i="5"/>
  <c r="C490" i="5" s="1"/>
  <c r="AC498" i="5"/>
  <c r="AC496" i="5"/>
  <c r="AC494" i="5"/>
  <c r="AC492" i="5"/>
  <c r="AC490" i="5"/>
  <c r="D488" i="5"/>
  <c r="R487" i="5" s="1"/>
  <c r="E488" i="5"/>
  <c r="D486" i="5"/>
  <c r="R485" i="5" s="1"/>
  <c r="E486" i="5"/>
  <c r="C486" i="5" s="1"/>
  <c r="D484" i="5"/>
  <c r="R483" i="5" s="1"/>
  <c r="E484" i="5"/>
  <c r="D482" i="5"/>
  <c r="R481" i="5" s="1"/>
  <c r="E482" i="5"/>
  <c r="D480" i="5"/>
  <c r="R479" i="5" s="1"/>
  <c r="E480" i="5"/>
  <c r="C480" i="5" s="1"/>
  <c r="AC488" i="5"/>
  <c r="AC486" i="5"/>
  <c r="AC484" i="5"/>
  <c r="AC482" i="5"/>
  <c r="D476" i="5"/>
  <c r="R475" i="5" s="1"/>
  <c r="E476" i="5"/>
  <c r="D474" i="5"/>
  <c r="R473" i="5" s="1"/>
  <c r="E474" i="5"/>
  <c r="D472" i="5"/>
  <c r="R471" i="5" s="1"/>
  <c r="E472" i="5"/>
  <c r="D478" i="5"/>
  <c r="R477" i="5" s="1"/>
  <c r="E478" i="5"/>
  <c r="D470" i="5"/>
  <c r="R469" i="5" s="1"/>
  <c r="E470" i="5"/>
  <c r="AC478" i="5"/>
  <c r="AC476" i="5"/>
  <c r="AC474" i="5"/>
  <c r="AC472" i="5"/>
  <c r="V423" i="5"/>
  <c r="V492" i="5" s="1"/>
  <c r="E464" i="5"/>
  <c r="D466" i="5"/>
  <c r="R465" i="5" s="1"/>
  <c r="E466" i="5"/>
  <c r="D464" i="5"/>
  <c r="R463" i="5" s="1"/>
  <c r="D462" i="5"/>
  <c r="R461" i="5" s="1"/>
  <c r="E462" i="5"/>
  <c r="D460" i="5"/>
  <c r="R459" i="5" s="1"/>
  <c r="E460" i="5"/>
  <c r="C460" i="5" s="1"/>
  <c r="AC468" i="5"/>
  <c r="D468" i="5"/>
  <c r="R467" i="5" s="1"/>
  <c r="E468" i="5"/>
  <c r="AC466" i="5"/>
  <c r="AC464" i="5"/>
  <c r="AC462" i="5"/>
  <c r="D458" i="5"/>
  <c r="R457" i="5" s="1"/>
  <c r="E458" i="5"/>
  <c r="D456" i="5"/>
  <c r="R455" i="5" s="1"/>
  <c r="E456" i="5"/>
  <c r="D454" i="5"/>
  <c r="R453" i="5" s="1"/>
  <c r="E454" i="5"/>
  <c r="D452" i="5"/>
  <c r="R451" i="5" s="1"/>
  <c r="E452" i="5"/>
  <c r="C452" i="5" s="1"/>
  <c r="D450" i="5"/>
  <c r="R449" i="5" s="1"/>
  <c r="E450" i="5"/>
  <c r="AC458" i="5"/>
  <c r="AC456" i="5"/>
  <c r="AC454" i="5"/>
  <c r="AC452" i="5"/>
  <c r="D448" i="5"/>
  <c r="R447" i="5" s="1"/>
  <c r="E448" i="5"/>
  <c r="D446" i="5"/>
  <c r="R445" i="5" s="1"/>
  <c r="E446" i="5"/>
  <c r="J446" i="5"/>
  <c r="D444" i="5"/>
  <c r="R443" i="5" s="1"/>
  <c r="E444" i="5"/>
  <c r="C444" i="5" s="1"/>
  <c r="D442" i="5"/>
  <c r="R441" i="5" s="1"/>
  <c r="E442" i="5"/>
  <c r="D440" i="5"/>
  <c r="R439" i="5" s="1"/>
  <c r="E440" i="5"/>
  <c r="AC448" i="5"/>
  <c r="AC446" i="5"/>
  <c r="AC444" i="5"/>
  <c r="AC442" i="5"/>
  <c r="D438" i="5"/>
  <c r="R437" i="5" s="1"/>
  <c r="E438" i="5"/>
  <c r="C438" i="5" s="1"/>
  <c r="J438" i="5"/>
  <c r="D436" i="5"/>
  <c r="R435" i="5" s="1"/>
  <c r="E436" i="5"/>
  <c r="C436" i="5" s="1"/>
  <c r="D434" i="5"/>
  <c r="R433" i="5" s="1"/>
  <c r="E434" i="5"/>
  <c r="C434" i="5" s="1"/>
  <c r="D432" i="5"/>
  <c r="R431" i="5" s="1"/>
  <c r="E432" i="5"/>
  <c r="AC438" i="5"/>
  <c r="AB438" i="5"/>
  <c r="AC436" i="5"/>
  <c r="AB436" i="5"/>
  <c r="AC434" i="5"/>
  <c r="AB434" i="5"/>
  <c r="AC432" i="5"/>
  <c r="AB432" i="5"/>
  <c r="D430" i="5"/>
  <c r="R429" i="5" s="1"/>
  <c r="E430" i="5"/>
  <c r="C430" i="5" s="1"/>
  <c r="P430" i="5" s="1"/>
  <c r="L414" i="5"/>
  <c r="L410" i="5"/>
  <c r="L408" i="5"/>
  <c r="AC414" i="5"/>
  <c r="AB414" i="5"/>
  <c r="AC412" i="5"/>
  <c r="AB412" i="5"/>
  <c r="AC410" i="5"/>
  <c r="AB410" i="5"/>
  <c r="AC408" i="5"/>
  <c r="AB408" i="5"/>
  <c r="L398" i="5"/>
  <c r="L396" i="5"/>
  <c r="L394" i="5"/>
  <c r="AC398" i="5"/>
  <c r="AB398" i="5"/>
  <c r="AC396" i="5"/>
  <c r="AB396" i="5"/>
  <c r="AC394" i="5"/>
  <c r="AB394" i="5"/>
  <c r="AC392" i="5"/>
  <c r="AB392" i="5"/>
  <c r="K380" i="5"/>
  <c r="N380" i="5" s="1"/>
  <c r="J376" i="5"/>
  <c r="K374" i="5"/>
  <c r="N374" i="5" s="1"/>
  <c r="C353" i="5"/>
  <c r="D353" i="5" s="1"/>
  <c r="C351" i="5"/>
  <c r="D351" i="5" s="1"/>
  <c r="C349" i="5"/>
  <c r="D349" i="5" s="1"/>
  <c r="C347" i="5"/>
  <c r="D347" i="5" s="1"/>
  <c r="C345" i="5"/>
  <c r="D345" i="5" s="1"/>
  <c r="K344" i="5" s="1"/>
  <c r="K345" i="5" s="1"/>
  <c r="C343" i="5"/>
  <c r="D343" i="5" s="1"/>
  <c r="C341" i="5"/>
  <c r="D341" i="5" s="1"/>
  <c r="C339" i="5"/>
  <c r="D339" i="5" s="1"/>
  <c r="C337" i="5"/>
  <c r="D337" i="5" s="1"/>
  <c r="C335" i="5"/>
  <c r="D335" i="5" s="1"/>
  <c r="K334" i="5" s="1"/>
  <c r="K335" i="5" s="1"/>
  <c r="C333" i="5"/>
  <c r="D333" i="5" s="1"/>
  <c r="C331" i="5"/>
  <c r="D331" i="5" s="1"/>
  <c r="C329" i="5"/>
  <c r="D329" i="5" s="1"/>
  <c r="K328" i="5" s="1"/>
  <c r="C327" i="5"/>
  <c r="D327" i="5" s="1"/>
  <c r="C325" i="5"/>
  <c r="D325" i="5" s="1"/>
  <c r="C323" i="5"/>
  <c r="D323" i="5" s="1"/>
  <c r="C321" i="5"/>
  <c r="D321" i="5" s="1"/>
  <c r="C319" i="5"/>
  <c r="D319" i="5" s="1"/>
  <c r="C317" i="5"/>
  <c r="D317" i="5" s="1"/>
  <c r="C315" i="5"/>
  <c r="D315" i="5" s="1"/>
  <c r="C313" i="5"/>
  <c r="D313" i="5" s="1"/>
  <c r="K312" i="5" s="1"/>
  <c r="C311" i="5"/>
  <c r="D311" i="5" s="1"/>
  <c r="C309" i="5"/>
  <c r="D309" i="5" s="1"/>
  <c r="C307" i="5"/>
  <c r="D307" i="5" s="1"/>
  <c r="C305" i="5"/>
  <c r="D305" i="5" s="1"/>
  <c r="AC380" i="5"/>
  <c r="AB380" i="5"/>
  <c r="AC376" i="5"/>
  <c r="AB376" i="5"/>
  <c r="AC374" i="5"/>
  <c r="AB374" i="5"/>
  <c r="J349" i="5"/>
  <c r="J347" i="5"/>
  <c r="AC353" i="5"/>
  <c r="AB353" i="5"/>
  <c r="AC351" i="5"/>
  <c r="AB351" i="5"/>
  <c r="AC349" i="5"/>
  <c r="AB349" i="5"/>
  <c r="AC347" i="5"/>
  <c r="AB347" i="5"/>
  <c r="AC345" i="5"/>
  <c r="AB345" i="5"/>
  <c r="J343" i="5"/>
  <c r="J337" i="5"/>
  <c r="AC343" i="5"/>
  <c r="AB343" i="5"/>
  <c r="AC341" i="5"/>
  <c r="AB341" i="5"/>
  <c r="AC339" i="5"/>
  <c r="AB339" i="5"/>
  <c r="AC337" i="5"/>
  <c r="AB337" i="5"/>
  <c r="J335" i="5"/>
  <c r="AC335" i="5"/>
  <c r="AB335" i="5"/>
  <c r="J331" i="5"/>
  <c r="J329" i="5"/>
  <c r="J325" i="5"/>
  <c r="AC333" i="5"/>
  <c r="AB333" i="5"/>
  <c r="AC331" i="5"/>
  <c r="AB331" i="5"/>
  <c r="AC329" i="5"/>
  <c r="AB329" i="5"/>
  <c r="AC327" i="5"/>
  <c r="AB327" i="5"/>
  <c r="V278" i="5"/>
  <c r="V353" i="5" s="1"/>
  <c r="AC325" i="5"/>
  <c r="AB325" i="5"/>
  <c r="AC323" i="5"/>
  <c r="AB323" i="5"/>
  <c r="AC321" i="5"/>
  <c r="AB321" i="5"/>
  <c r="AC319" i="5"/>
  <c r="AB319" i="5"/>
  <c r="AC317" i="5"/>
  <c r="AB317" i="5"/>
  <c r="AC315" i="5"/>
  <c r="AB315" i="5"/>
  <c r="J311" i="5"/>
  <c r="J309" i="5"/>
  <c r="AC313" i="5"/>
  <c r="AB313" i="5"/>
  <c r="AC311" i="5"/>
  <c r="AB311" i="5"/>
  <c r="AC309" i="5"/>
  <c r="AB309" i="5"/>
  <c r="AC307" i="5"/>
  <c r="AB307" i="5"/>
  <c r="AC305" i="5"/>
  <c r="AB305" i="5"/>
  <c r="C303" i="5"/>
  <c r="D303" i="5" s="1"/>
  <c r="C301" i="5"/>
  <c r="D301" i="5" s="1"/>
  <c r="K300" i="5" s="1"/>
  <c r="K301" i="5" s="1"/>
  <c r="C299" i="5"/>
  <c r="D299" i="5" s="1"/>
  <c r="K298" i="5" s="1"/>
  <c r="K299" i="5" s="1"/>
  <c r="C297" i="5"/>
  <c r="D297" i="5" s="1"/>
  <c r="C295" i="5"/>
  <c r="D295" i="5" s="1"/>
  <c r="D293" i="5"/>
  <c r="K292" i="5" s="1"/>
  <c r="K293" i="5" s="1"/>
  <c r="C291" i="5"/>
  <c r="D291" i="5" s="1"/>
  <c r="C289" i="5"/>
  <c r="D289" i="5" s="1"/>
  <c r="C287" i="5"/>
  <c r="D287" i="5" s="1"/>
  <c r="AC303" i="5"/>
  <c r="AB303" i="5"/>
  <c r="AC301" i="5"/>
  <c r="AB301" i="5"/>
  <c r="AC299" i="5"/>
  <c r="AB299" i="5"/>
  <c r="AC297" i="5"/>
  <c r="AB297" i="5"/>
  <c r="AC295" i="5"/>
  <c r="AB295" i="5"/>
  <c r="AC293" i="5"/>
  <c r="AB293" i="5"/>
  <c r="AC291" i="5"/>
  <c r="AB291" i="5"/>
  <c r="AC289" i="5"/>
  <c r="AB289" i="5"/>
  <c r="AC287" i="5"/>
  <c r="AB287" i="5"/>
  <c r="C285" i="5"/>
  <c r="D285" i="5" s="1"/>
  <c r="K256" i="5"/>
  <c r="N256" i="5" s="1"/>
  <c r="J246" i="5"/>
  <c r="K236" i="5"/>
  <c r="N236" i="5" s="1"/>
  <c r="J232" i="5"/>
  <c r="J220" i="5"/>
  <c r="K218" i="5"/>
  <c r="N218" i="5" s="1"/>
  <c r="J212" i="5"/>
  <c r="J210" i="5"/>
  <c r="J204" i="5"/>
  <c r="J202" i="5"/>
  <c r="K200" i="5"/>
  <c r="N200" i="5" s="1"/>
  <c r="K113" i="5"/>
  <c r="K198" i="5"/>
  <c r="AC258" i="5"/>
  <c r="AC256" i="5"/>
  <c r="AC254" i="5"/>
  <c r="AC252" i="5"/>
  <c r="AC250" i="5"/>
  <c r="AC248" i="5"/>
  <c r="AC246" i="5"/>
  <c r="AC244" i="5"/>
  <c r="AC242" i="5"/>
  <c r="AC240" i="5"/>
  <c r="AC238" i="5"/>
  <c r="AC236" i="5"/>
  <c r="AC234" i="5"/>
  <c r="AC232" i="5"/>
  <c r="AC230" i="5"/>
  <c r="AC228" i="5"/>
  <c r="AC226" i="5"/>
  <c r="AC224" i="5"/>
  <c r="AC220" i="5"/>
  <c r="AC218" i="5"/>
  <c r="AC214" i="5"/>
  <c r="AC212" i="5"/>
  <c r="AC210" i="5"/>
  <c r="AC208" i="5"/>
  <c r="AC206" i="5"/>
  <c r="AC204" i="5"/>
  <c r="AC202" i="5"/>
  <c r="AC200" i="5"/>
  <c r="J1046" i="5"/>
  <c r="J1058" i="5"/>
  <c r="K1058" i="5"/>
  <c r="N1058" i="5" s="1"/>
  <c r="W1058" i="5"/>
  <c r="W1048" i="5"/>
  <c r="K1042" i="5"/>
  <c r="N1042" i="5" s="1"/>
  <c r="W1042" i="5"/>
  <c r="W1040" i="5"/>
  <c r="J1036" i="5"/>
  <c r="K1036" i="5"/>
  <c r="N1036" i="5" s="1"/>
  <c r="W1036" i="5"/>
  <c r="J1018" i="5"/>
  <c r="J1012" i="5"/>
  <c r="K1012" i="5"/>
  <c r="N1012" i="5" s="1"/>
  <c r="J1008" i="5"/>
  <c r="K1008" i="5"/>
  <c r="N1008" i="5" s="1"/>
  <c r="W1008" i="5"/>
  <c r="K968" i="5"/>
  <c r="N968" i="5" s="1"/>
  <c r="K964" i="5"/>
  <c r="N964" i="5" s="1"/>
  <c r="K948" i="5"/>
  <c r="N948" i="5" s="1"/>
  <c r="J940" i="5"/>
  <c r="K906" i="5"/>
  <c r="N906" i="5" s="1"/>
  <c r="J902" i="5"/>
  <c r="J869" i="5"/>
  <c r="K869" i="5"/>
  <c r="N869" i="5" s="1"/>
  <c r="J853" i="5"/>
  <c r="K853" i="5"/>
  <c r="N853" i="5" s="1"/>
  <c r="J837" i="5"/>
  <c r="J751" i="5"/>
  <c r="AC198" i="5"/>
  <c r="AC196" i="5"/>
  <c r="AC194" i="5"/>
  <c r="V163" i="5"/>
  <c r="L161" i="5"/>
  <c r="V157" i="5"/>
  <c r="K153" i="5"/>
  <c r="L149" i="5"/>
  <c r="K145" i="5"/>
  <c r="L143" i="5"/>
  <c r="K141" i="5"/>
  <c r="L139" i="5"/>
  <c r="K133" i="5"/>
  <c r="J131" i="5"/>
  <c r="K129" i="5"/>
  <c r="J123" i="5"/>
  <c r="J121" i="5"/>
  <c r="L117" i="5"/>
  <c r="L115" i="5"/>
  <c r="L109" i="5"/>
  <c r="K105" i="5"/>
  <c r="K103" i="5"/>
  <c r="L101" i="5"/>
  <c r="L99" i="5"/>
  <c r="K95" i="5"/>
  <c r="AC141" i="5"/>
  <c r="AC139" i="5"/>
  <c r="AC137" i="5"/>
  <c r="AC135" i="5"/>
  <c r="AC113" i="5"/>
  <c r="AC111" i="5"/>
  <c r="AC109" i="5"/>
  <c r="AC107" i="5"/>
  <c r="AC105" i="5"/>
  <c r="AC131" i="5"/>
  <c r="AC129" i="5"/>
  <c r="AC127" i="5"/>
  <c r="AC125" i="5"/>
  <c r="L63" i="5"/>
  <c r="K45" i="5"/>
  <c r="AC121" i="5"/>
  <c r="AC119" i="5"/>
  <c r="AC117" i="5"/>
  <c r="AC115" i="5"/>
  <c r="AC101" i="5"/>
  <c r="AC99" i="5"/>
  <c r="AC97" i="5"/>
  <c r="K79" i="5"/>
  <c r="M75" i="5"/>
  <c r="K73" i="5"/>
  <c r="AC79" i="5"/>
  <c r="AB79" i="5"/>
  <c r="AC77" i="5"/>
  <c r="AB77" i="5"/>
  <c r="AC65" i="5"/>
  <c r="AB65" i="5"/>
  <c r="AC63" i="5"/>
  <c r="AB63"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H14" i="3" s="1"/>
  <c r="J7" i="3"/>
  <c r="M7" i="3"/>
  <c r="P7" i="3"/>
  <c r="S7" i="3"/>
  <c r="T14" i="3" s="1"/>
  <c r="V7" i="3"/>
  <c r="Y7" i="3"/>
  <c r="AB7" i="3"/>
  <c r="AE7" i="3"/>
  <c r="AH7" i="3"/>
  <c r="AL7" i="3"/>
  <c r="AN7" i="3"/>
  <c r="AP7" i="3"/>
  <c r="AR7" i="3"/>
  <c r="AT7" i="3"/>
  <c r="AV7" i="3"/>
  <c r="AX7" i="3"/>
  <c r="AZ7" i="3"/>
  <c r="BB7" i="3"/>
  <c r="BD7" i="3"/>
  <c r="BF7" i="3"/>
  <c r="BH7" i="3"/>
  <c r="BJ7" i="3"/>
  <c r="BL7" i="3"/>
  <c r="BN7" i="3"/>
  <c r="BO14" i="3" s="1"/>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A14" i="3" s="1"/>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I15" i="3" s="1"/>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Q16" i="3" s="1"/>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C16" i="3" s="1"/>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I24" i="3" s="1"/>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c r="P14" i="3"/>
  <c r="Q14" i="3" s="1"/>
  <c r="S14" i="3"/>
  <c r="V14" i="3"/>
  <c r="Y14" i="3"/>
  <c r="Z14" i="3" s="1"/>
  <c r="AB14" i="3"/>
  <c r="AE14" i="3"/>
  <c r="AF14" i="3"/>
  <c r="AH14" i="3"/>
  <c r="AL14" i="3"/>
  <c r="AM14" i="3"/>
  <c r="AN14" i="3"/>
  <c r="AP14" i="3"/>
  <c r="AR14" i="3"/>
  <c r="AT14" i="3"/>
  <c r="AU14" i="3" s="1"/>
  <c r="AV14" i="3"/>
  <c r="AX14" i="3"/>
  <c r="AZ14" i="3"/>
  <c r="BB14" i="3"/>
  <c r="BC14" i="3"/>
  <c r="BD14" i="3"/>
  <c r="BF14" i="3"/>
  <c r="BH14" i="3"/>
  <c r="BJ14" i="3"/>
  <c r="BK14" i="3" s="1"/>
  <c r="BL14" i="3"/>
  <c r="BN14" i="3"/>
  <c r="BP14" i="3"/>
  <c r="BR14" i="3"/>
  <c r="BS14" i="3"/>
  <c r="BT14" i="3"/>
  <c r="BV14" i="3"/>
  <c r="BX14" i="3"/>
  <c r="BZ14" i="3"/>
  <c r="CA14" i="3" s="1"/>
  <c r="CB14" i="3"/>
  <c r="CD14" i="3"/>
  <c r="CF14" i="3"/>
  <c r="CH14" i="3"/>
  <c r="CI14" i="3"/>
  <c r="CJ14" i="3"/>
  <c r="CL14" i="3"/>
  <c r="CN14" i="3"/>
  <c r="CP14" i="3"/>
  <c r="CQ14" i="3" s="1"/>
  <c r="CR14" i="3"/>
  <c r="CT14" i="3"/>
  <c r="CU14" i="3"/>
  <c r="CV14" i="3"/>
  <c r="CX14" i="3"/>
  <c r="CY14" i="3"/>
  <c r="CZ14" i="3"/>
  <c r="DB14" i="3"/>
  <c r="DD14" i="3"/>
  <c r="DF14" i="3"/>
  <c r="DG14" i="3" s="1"/>
  <c r="DH14" i="3"/>
  <c r="DJ14" i="3"/>
  <c r="DL14" i="3"/>
  <c r="DN14" i="3"/>
  <c r="DO14" i="3"/>
  <c r="DP14" i="3"/>
  <c r="DR14" i="3"/>
  <c r="DT14" i="3"/>
  <c r="DV14" i="3"/>
  <c r="DW14" i="3" s="1"/>
  <c r="DX14" i="3"/>
  <c r="DZ14" i="3"/>
  <c r="EB14" i="3"/>
  <c r="ED14" i="3"/>
  <c r="EE14" i="3"/>
  <c r="EF14" i="3"/>
  <c r="EH14" i="3"/>
  <c r="EJ14" i="3"/>
  <c r="EL14" i="3"/>
  <c r="EM14" i="3" s="1"/>
  <c r="EN14" i="3"/>
  <c r="EP14" i="3"/>
  <c r="D15" i="3"/>
  <c r="G15" i="3"/>
  <c r="H15" i="3"/>
  <c r="J15" i="3"/>
  <c r="K15" i="3" s="1"/>
  <c r="M15" i="3"/>
  <c r="P15" i="3"/>
  <c r="S15" i="3"/>
  <c r="T15" i="3" s="1"/>
  <c r="V15" i="3"/>
  <c r="Y15" i="3"/>
  <c r="Z15" i="3" s="1"/>
  <c r="AB15" i="3"/>
  <c r="AC15" i="3" s="1"/>
  <c r="AE15" i="3"/>
  <c r="AF15" i="3" s="1"/>
  <c r="AH15" i="3"/>
  <c r="AI15" i="3" s="1"/>
  <c r="AL15" i="3"/>
  <c r="AM15" i="3" s="1"/>
  <c r="AN15" i="3"/>
  <c r="AP15" i="3"/>
  <c r="AQ15" i="3"/>
  <c r="AR15" i="3"/>
  <c r="AT15" i="3"/>
  <c r="AV15" i="3"/>
  <c r="AX15" i="3"/>
  <c r="AY15" i="3"/>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c r="EJ15" i="3"/>
  <c r="EL15" i="3"/>
  <c r="EN15" i="3"/>
  <c r="EP15" i="3"/>
  <c r="EQ15" i="3" s="1"/>
  <c r="D16" i="3"/>
  <c r="E16" i="3"/>
  <c r="G16" i="3"/>
  <c r="J16" i="3"/>
  <c r="K16" i="3" s="1"/>
  <c r="M16" i="3"/>
  <c r="N16" i="3"/>
  <c r="P16" i="3"/>
  <c r="S16" i="3"/>
  <c r="V16" i="3"/>
  <c r="W16" i="3"/>
  <c r="Y16" i="3"/>
  <c r="Z16" i="3" s="1"/>
  <c r="AB16" i="3"/>
  <c r="AC16" i="3"/>
  <c r="AE16" i="3"/>
  <c r="AH16" i="3"/>
  <c r="AI16" i="3"/>
  <c r="AL16" i="3"/>
  <c r="AM16" i="3" s="1"/>
  <c r="AN16" i="3"/>
  <c r="AP16" i="3"/>
  <c r="AR16" i="3"/>
  <c r="AT16" i="3"/>
  <c r="AU16" i="3"/>
  <c r="AV16" i="3"/>
  <c r="AX16" i="3"/>
  <c r="AZ16" i="3"/>
  <c r="BB16" i="3"/>
  <c r="BC16" i="3" s="1"/>
  <c r="BD16" i="3"/>
  <c r="BF16" i="3"/>
  <c r="BH16" i="3"/>
  <c r="BJ16" i="3"/>
  <c r="BK16" i="3"/>
  <c r="BL16" i="3"/>
  <c r="BN16" i="3"/>
  <c r="BP16" i="3"/>
  <c r="BR16" i="3"/>
  <c r="BS16" i="3" s="1"/>
  <c r="BT16" i="3"/>
  <c r="BV16" i="3"/>
  <c r="BW16" i="3"/>
  <c r="BX16" i="3"/>
  <c r="BZ16" i="3"/>
  <c r="CA16" i="3"/>
  <c r="CB16" i="3"/>
  <c r="CD16" i="3"/>
  <c r="CF16" i="3"/>
  <c r="CH16" i="3"/>
  <c r="CI16" i="3" s="1"/>
  <c r="CJ16" i="3"/>
  <c r="CL16" i="3"/>
  <c r="CN16" i="3"/>
  <c r="CP16" i="3"/>
  <c r="CQ16" i="3"/>
  <c r="CR16" i="3"/>
  <c r="CT16" i="3"/>
  <c r="CU16" i="3" s="1"/>
  <c r="CV16" i="3"/>
  <c r="CX16" i="3"/>
  <c r="CY16" i="3" s="1"/>
  <c r="CZ16" i="3"/>
  <c r="DB16" i="3"/>
  <c r="DD16" i="3"/>
  <c r="DF16" i="3"/>
  <c r="DG16" i="3"/>
  <c r="DH16" i="3"/>
  <c r="DJ16" i="3"/>
  <c r="DL16" i="3"/>
  <c r="DN16" i="3"/>
  <c r="DO16" i="3" s="1"/>
  <c r="DP16" i="3"/>
  <c r="DR16" i="3"/>
  <c r="DT16" i="3"/>
  <c r="DV16" i="3"/>
  <c r="DW16" i="3"/>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185" i="5" s="1"/>
  <c r="Z4" i="5"/>
  <c r="Z5" i="5"/>
  <c r="Z6" i="5"/>
  <c r="Z13" i="5"/>
  <c r="Z14" i="5"/>
  <c r="M28" i="5"/>
  <c r="Z28" i="5"/>
  <c r="Z30" i="5"/>
  <c r="S38" i="5"/>
  <c r="S43" i="5" s="1"/>
  <c r="T38" i="5"/>
  <c r="U38" i="5"/>
  <c r="V38" i="5"/>
  <c r="W38" i="5"/>
  <c r="X38" i="5"/>
  <c r="Y38" i="5"/>
  <c r="Z38" i="5"/>
  <c r="AA38" i="5"/>
  <c r="L43" i="5"/>
  <c r="AC43" i="5"/>
  <c r="AC45" i="5"/>
  <c r="AB47" i="5"/>
  <c r="AC47" i="5"/>
  <c r="AB49" i="5"/>
  <c r="AC49" i="5"/>
  <c r="S54" i="5"/>
  <c r="T54" i="5"/>
  <c r="U54" i="5"/>
  <c r="V54" i="5"/>
  <c r="W54" i="5"/>
  <c r="X54" i="5"/>
  <c r="Y54" i="5"/>
  <c r="Z54" i="5"/>
  <c r="AA54" i="5"/>
  <c r="AC59" i="5"/>
  <c r="AC61" i="5"/>
  <c r="S68" i="5"/>
  <c r="T68" i="5"/>
  <c r="U68" i="5"/>
  <c r="V68" i="5"/>
  <c r="W68" i="5"/>
  <c r="X68" i="5"/>
  <c r="Y68" i="5"/>
  <c r="Z68" i="5"/>
  <c r="AA68" i="5"/>
  <c r="AC73" i="5"/>
  <c r="AC75" i="5"/>
  <c r="V82" i="5"/>
  <c r="V83" i="5"/>
  <c r="V109" i="5" s="1"/>
  <c r="V85" i="5"/>
  <c r="V131" i="5" s="1"/>
  <c r="V86" i="5"/>
  <c r="V139" i="5" s="1"/>
  <c r="U90" i="5"/>
  <c r="V90" i="5"/>
  <c r="W90" i="5"/>
  <c r="X90" i="5"/>
  <c r="Y90" i="5"/>
  <c r="Z90" i="5"/>
  <c r="AA90" i="5"/>
  <c r="AC95" i="5"/>
  <c r="AC103" i="5"/>
  <c r="AC123" i="5"/>
  <c r="AC133" i="5"/>
  <c r="AC143" i="5"/>
  <c r="AC190" i="5"/>
  <c r="AC192" i="5"/>
  <c r="AC216" i="5"/>
  <c r="AC222" i="5"/>
  <c r="V271" i="5"/>
  <c r="V272" i="5"/>
  <c r="V273" i="5"/>
  <c r="V297" i="5" s="1"/>
  <c r="V274" i="5"/>
  <c r="V307" i="5" s="1"/>
  <c r="V275" i="5"/>
  <c r="V323" i="5" s="1"/>
  <c r="V276" i="5"/>
  <c r="V333" i="5" s="1"/>
  <c r="V277" i="5"/>
  <c r="V343" i="5" s="1"/>
  <c r="U280" i="5"/>
  <c r="V280" i="5"/>
  <c r="W280" i="5"/>
  <c r="W363" i="5" s="1"/>
  <c r="X280" i="5"/>
  <c r="Y280" i="5"/>
  <c r="Z280" i="5"/>
  <c r="AA280" i="5"/>
  <c r="AC285" i="5"/>
  <c r="S367" i="5"/>
  <c r="S378" i="5" s="1"/>
  <c r="T367" i="5"/>
  <c r="T378" i="5" s="1"/>
  <c r="U367" i="5"/>
  <c r="U378" i="5" s="1"/>
  <c r="V367" i="5"/>
  <c r="V378" i="5" s="1"/>
  <c r="W367" i="5"/>
  <c r="W378" i="5" s="1"/>
  <c r="X367" i="5"/>
  <c r="X378" i="5" s="1"/>
  <c r="Y367" i="5"/>
  <c r="Y378" i="5" s="1"/>
  <c r="Z367" i="5"/>
  <c r="Z378" i="5" s="1"/>
  <c r="AA367" i="5"/>
  <c r="AA378" i="5" s="1"/>
  <c r="AC372" i="5"/>
  <c r="U385" i="5"/>
  <c r="V385" i="5"/>
  <c r="W385" i="5"/>
  <c r="X385" i="5"/>
  <c r="Y385" i="5"/>
  <c r="Z385" i="5"/>
  <c r="AA385" i="5"/>
  <c r="AC390" i="5"/>
  <c r="U401" i="5"/>
  <c r="V401" i="5"/>
  <c r="W401" i="5"/>
  <c r="X401" i="5"/>
  <c r="Y401" i="5"/>
  <c r="Z401" i="5"/>
  <c r="AA401" i="5"/>
  <c r="AC406" i="5"/>
  <c r="V416" i="5"/>
  <c r="V417" i="5"/>
  <c r="V418" i="5"/>
  <c r="V440" i="5" s="1"/>
  <c r="V419" i="5"/>
  <c r="V454" i="5" s="1"/>
  <c r="V420" i="5"/>
  <c r="V464" i="5" s="1"/>
  <c r="V421" i="5"/>
  <c r="V422" i="5"/>
  <c r="V486" i="5" s="1"/>
  <c r="U425" i="5"/>
  <c r="V425" i="5"/>
  <c r="V438" i="5" s="1"/>
  <c r="W425" i="5"/>
  <c r="X425" i="5"/>
  <c r="Y425" i="5"/>
  <c r="Z425" i="5"/>
  <c r="AA425" i="5"/>
  <c r="AC430" i="5"/>
  <c r="AC440" i="5"/>
  <c r="AC450" i="5"/>
  <c r="AC460" i="5"/>
  <c r="AC470" i="5"/>
  <c r="AC480" i="5"/>
  <c r="V510" i="5"/>
  <c r="V511" i="5"/>
  <c r="V548" i="5" s="1"/>
  <c r="V512" i="5"/>
  <c r="V513" i="5"/>
  <c r="V570" i="5" s="1"/>
  <c r="V514" i="5"/>
  <c r="V580" i="5" s="1"/>
  <c r="U517" i="5"/>
  <c r="V517" i="5"/>
  <c r="W517" i="5"/>
  <c r="X517" i="5"/>
  <c r="Y517" i="5"/>
  <c r="Z517" i="5"/>
  <c r="AA517" i="5"/>
  <c r="AC522" i="5"/>
  <c r="AC542" i="5"/>
  <c r="AC552" i="5"/>
  <c r="AC562" i="5"/>
  <c r="AC572" i="5"/>
  <c r="V601" i="5"/>
  <c r="AB617" i="5" s="1"/>
  <c r="V602" i="5"/>
  <c r="V603" i="5"/>
  <c r="AB619" i="5" s="1"/>
  <c r="V604" i="5"/>
  <c r="V605" i="5"/>
  <c r="U608" i="5"/>
  <c r="V608" i="5"/>
  <c r="W608" i="5"/>
  <c r="W683" i="5" s="1"/>
  <c r="X608" i="5"/>
  <c r="Y608" i="5"/>
  <c r="Z608" i="5"/>
  <c r="AA608" i="5"/>
  <c r="AC613" i="5"/>
  <c r="V693" i="5"/>
  <c r="AB709" i="5"/>
  <c r="V694" i="5"/>
  <c r="V695" i="5"/>
  <c r="V696" i="5"/>
  <c r="V697" i="5"/>
  <c r="V743" i="5" s="1"/>
  <c r="V698" i="5"/>
  <c r="V755" i="5" s="1"/>
  <c r="V699" i="5"/>
  <c r="AB715" i="5" s="1"/>
  <c r="U702" i="5"/>
  <c r="U759" i="5" s="1"/>
  <c r="X702" i="5"/>
  <c r="Y702" i="5"/>
  <c r="Z702" i="5"/>
  <c r="AA702" i="5"/>
  <c r="AC707" i="5"/>
  <c r="AC717" i="5"/>
  <c r="AB727" i="5"/>
  <c r="AC727" i="5"/>
  <c r="AB747" i="5"/>
  <c r="AC747" i="5"/>
  <c r="V787" i="5"/>
  <c r="AB803" i="5"/>
  <c r="V788" i="5"/>
  <c r="V789" i="5"/>
  <c r="AB805" i="5" s="1"/>
  <c r="V790" i="5"/>
  <c r="V791" i="5"/>
  <c r="V792" i="5"/>
  <c r="V841" i="5" s="1"/>
  <c r="V793" i="5"/>
  <c r="V853" i="5" s="1"/>
  <c r="U796" i="5"/>
  <c r="AC801" i="5"/>
  <c r="H810" i="5"/>
  <c r="J810" i="5"/>
  <c r="K810" i="5"/>
  <c r="L810" i="5"/>
  <c r="M810" i="5"/>
  <c r="AC810" i="5"/>
  <c r="AC811" i="5"/>
  <c r="V881" i="5"/>
  <c r="V882" i="5"/>
  <c r="V1008" i="5" s="1"/>
  <c r="V883" i="5"/>
  <c r="V884" i="5"/>
  <c r="V885" i="5"/>
  <c r="V886" i="5"/>
  <c r="V1042" i="5" s="1"/>
  <c r="U889" i="5"/>
  <c r="AC896" i="5"/>
  <c r="U985" i="5"/>
  <c r="V985" i="5"/>
  <c r="BK24" i="3" l="1"/>
  <c r="BK15" i="3"/>
  <c r="Q15" i="3"/>
  <c r="BC15" i="3"/>
  <c r="EA29" i="3"/>
  <c r="CM29" i="3"/>
  <c r="BO29" i="3"/>
  <c r="DW24" i="3"/>
  <c r="EM15" i="3"/>
  <c r="CY15" i="3"/>
  <c r="CA15" i="3"/>
  <c r="EM24" i="3"/>
  <c r="W14" i="3"/>
  <c r="DO15" i="3"/>
  <c r="DK16" i="3"/>
  <c r="CM16" i="3"/>
  <c r="AY16" i="3"/>
  <c r="DW15" i="3"/>
  <c r="AU15" i="3"/>
  <c r="EI14" i="3"/>
  <c r="DK14" i="3"/>
  <c r="BW14" i="3"/>
  <c r="AY14" i="3"/>
  <c r="AI14" i="3"/>
  <c r="V480" i="5"/>
  <c r="V460" i="5"/>
  <c r="Q16" i="3"/>
  <c r="AC14" i="3"/>
  <c r="E14" i="3"/>
  <c r="V578" i="5"/>
  <c r="CU29" i="3"/>
  <c r="CQ24" i="3"/>
  <c r="T16" i="3"/>
  <c r="CQ15" i="3"/>
  <c r="E15" i="3"/>
  <c r="DS16" i="3"/>
  <c r="BG16" i="3"/>
  <c r="EQ14" i="3"/>
  <c r="CE14" i="3"/>
  <c r="K14" i="3"/>
  <c r="V317" i="5"/>
  <c r="V1062" i="5"/>
  <c r="V1064" i="5"/>
  <c r="V1068" i="5"/>
  <c r="V1060" i="5"/>
  <c r="V1066" i="5"/>
  <c r="U1052" i="5"/>
  <c r="U1068" i="5"/>
  <c r="U1060" i="5"/>
  <c r="U1062" i="5"/>
  <c r="U1064" i="5"/>
  <c r="U1066" i="5"/>
  <c r="V759" i="5"/>
  <c r="U958" i="5"/>
  <c r="U974" i="5"/>
  <c r="U976" i="5"/>
  <c r="U978" i="5"/>
  <c r="U980" i="5"/>
  <c r="U982" i="5"/>
  <c r="U837" i="5"/>
  <c r="U873" i="5"/>
  <c r="U877" i="5"/>
  <c r="U875" i="5"/>
  <c r="U871" i="5"/>
  <c r="U879" i="5"/>
  <c r="X796" i="5"/>
  <c r="X825" i="5" s="1"/>
  <c r="X783" i="5"/>
  <c r="X779" i="5"/>
  <c r="X781" i="5"/>
  <c r="X785" i="5"/>
  <c r="X777" i="5"/>
  <c r="U751" i="5"/>
  <c r="U779" i="5"/>
  <c r="U781" i="5"/>
  <c r="U783" i="5"/>
  <c r="U777" i="5"/>
  <c r="U785" i="5"/>
  <c r="Z796" i="5"/>
  <c r="Z805" i="5" s="1"/>
  <c r="Z777" i="5"/>
  <c r="Z781" i="5"/>
  <c r="Z783" i="5"/>
  <c r="Z785" i="5"/>
  <c r="Z779" i="5"/>
  <c r="Y743" i="5"/>
  <c r="Y783" i="5"/>
  <c r="Y781" i="5"/>
  <c r="Y779" i="5"/>
  <c r="Y785" i="5"/>
  <c r="Y777" i="5"/>
  <c r="AA751" i="5"/>
  <c r="AA781" i="5"/>
  <c r="AA783" i="5"/>
  <c r="AA785" i="5"/>
  <c r="AA779" i="5"/>
  <c r="AA777" i="5"/>
  <c r="AB623" i="5"/>
  <c r="U689" i="5"/>
  <c r="U691" i="5"/>
  <c r="U687" i="5"/>
  <c r="U683" i="5"/>
  <c r="U685" i="5"/>
  <c r="AA653" i="5"/>
  <c r="AA687" i="5"/>
  <c r="AA685" i="5"/>
  <c r="AA683" i="5"/>
  <c r="AA691" i="5"/>
  <c r="AA689" i="5"/>
  <c r="W653" i="5"/>
  <c r="W685" i="5"/>
  <c r="W687" i="5"/>
  <c r="W691" i="5"/>
  <c r="W689" i="5"/>
  <c r="Z687" i="5"/>
  <c r="Z685" i="5"/>
  <c r="Z691" i="5"/>
  <c r="Z689" i="5"/>
  <c r="Z683" i="5"/>
  <c r="Y685" i="5"/>
  <c r="Y691" i="5"/>
  <c r="Y683" i="5"/>
  <c r="Y689" i="5"/>
  <c r="Y687" i="5"/>
  <c r="X685" i="5"/>
  <c r="X683" i="5"/>
  <c r="X689" i="5"/>
  <c r="X687" i="5"/>
  <c r="X691" i="5"/>
  <c r="V574" i="5"/>
  <c r="V576" i="5"/>
  <c r="V588" i="5"/>
  <c r="V586" i="5"/>
  <c r="V584" i="5"/>
  <c r="V582" i="5"/>
  <c r="X594" i="5"/>
  <c r="X592" i="5"/>
  <c r="X596" i="5"/>
  <c r="X598" i="5"/>
  <c r="X600" i="5"/>
  <c r="W596" i="5"/>
  <c r="W594" i="5"/>
  <c r="W598" i="5"/>
  <c r="W600" i="5"/>
  <c r="W592" i="5"/>
  <c r="Y592" i="5"/>
  <c r="Y594" i="5"/>
  <c r="Y598" i="5"/>
  <c r="Y596" i="5"/>
  <c r="Y600" i="5"/>
  <c r="AB600" i="5"/>
  <c r="AB598" i="5"/>
  <c r="AB596" i="5"/>
  <c r="AB594" i="5"/>
  <c r="AB592" i="5"/>
  <c r="U592" i="5"/>
  <c r="U600" i="5"/>
  <c r="U594" i="5"/>
  <c r="U598" i="5"/>
  <c r="U596" i="5"/>
  <c r="AA596" i="5"/>
  <c r="AA594" i="5"/>
  <c r="AA592" i="5"/>
  <c r="AA600" i="5"/>
  <c r="AA598" i="5"/>
  <c r="Z592" i="5"/>
  <c r="Z596" i="5"/>
  <c r="Z594" i="5"/>
  <c r="Z600" i="5"/>
  <c r="Z598" i="5"/>
  <c r="AB713" i="5"/>
  <c r="AB809" i="5"/>
  <c r="V498" i="5"/>
  <c r="W702" i="5"/>
  <c r="W747" i="5" s="1"/>
  <c r="V494" i="5"/>
  <c r="V702" i="5"/>
  <c r="V713" i="5" s="1"/>
  <c r="AB608" i="5"/>
  <c r="AB615" i="5"/>
  <c r="V490" i="5"/>
  <c r="Y504" i="5"/>
  <c r="Y500" i="5"/>
  <c r="Y508" i="5"/>
  <c r="Y502" i="5"/>
  <c r="Y506" i="5"/>
  <c r="AA506" i="5"/>
  <c r="AA504" i="5"/>
  <c r="AA502" i="5"/>
  <c r="AA508" i="5"/>
  <c r="AA500" i="5"/>
  <c r="X502" i="5"/>
  <c r="X504" i="5"/>
  <c r="X508" i="5"/>
  <c r="X500" i="5"/>
  <c r="X506" i="5"/>
  <c r="W504" i="5"/>
  <c r="W508" i="5"/>
  <c r="W506" i="5"/>
  <c r="W502" i="5"/>
  <c r="W500" i="5"/>
  <c r="Z506" i="5"/>
  <c r="Z502" i="5"/>
  <c r="Z504" i="5"/>
  <c r="Z500" i="5"/>
  <c r="Z508" i="5"/>
  <c r="AB500" i="5"/>
  <c r="AB508" i="5"/>
  <c r="AB502" i="5"/>
  <c r="AB504" i="5"/>
  <c r="AB506" i="5"/>
  <c r="U506" i="5"/>
  <c r="U508" i="5"/>
  <c r="U500" i="5"/>
  <c r="U502" i="5"/>
  <c r="U504" i="5"/>
  <c r="AA359" i="5"/>
  <c r="AA357" i="5"/>
  <c r="AA361" i="5"/>
  <c r="AA355" i="5"/>
  <c r="AA363" i="5"/>
  <c r="Z357" i="5"/>
  <c r="Z359" i="5"/>
  <c r="Z361" i="5"/>
  <c r="Z363" i="5"/>
  <c r="Z355" i="5"/>
  <c r="Y363" i="5"/>
  <c r="Y355" i="5"/>
  <c r="Y357" i="5"/>
  <c r="Y359" i="5"/>
  <c r="Y361" i="5"/>
  <c r="X363" i="5"/>
  <c r="X355" i="5"/>
  <c r="X361" i="5"/>
  <c r="X357" i="5"/>
  <c r="X359" i="5"/>
  <c r="W359" i="5"/>
  <c r="W361" i="5"/>
  <c r="W355" i="5"/>
  <c r="W357" i="5"/>
  <c r="U363" i="5"/>
  <c r="U355" i="5"/>
  <c r="U361" i="5"/>
  <c r="U359" i="5"/>
  <c r="U357" i="5"/>
  <c r="AA165" i="5"/>
  <c r="AA171" i="5"/>
  <c r="AA167" i="5"/>
  <c r="AA169" i="5"/>
  <c r="AA173" i="5"/>
  <c r="Y167" i="5"/>
  <c r="Y173" i="5"/>
  <c r="Y169" i="5"/>
  <c r="Y165" i="5"/>
  <c r="Y171" i="5"/>
  <c r="Z165" i="5"/>
  <c r="Z173" i="5"/>
  <c r="Z167" i="5"/>
  <c r="Z171" i="5"/>
  <c r="Z169" i="5"/>
  <c r="X171" i="5"/>
  <c r="X165" i="5"/>
  <c r="X173" i="5"/>
  <c r="X169" i="5"/>
  <c r="X167" i="5"/>
  <c r="U169" i="5"/>
  <c r="U167" i="5"/>
  <c r="U171" i="5"/>
  <c r="U173" i="5"/>
  <c r="U165" i="5"/>
  <c r="T264" i="5"/>
  <c r="T268" i="5"/>
  <c r="T262" i="5"/>
  <c r="T260" i="5"/>
  <c r="T266" i="5"/>
  <c r="S280" i="5"/>
  <c r="S335" i="5" s="1"/>
  <c r="S185" i="5"/>
  <c r="S240" i="5" s="1"/>
  <c r="S401" i="5"/>
  <c r="S412" i="5" s="1"/>
  <c r="W796" i="5"/>
  <c r="U853" i="5"/>
  <c r="M619" i="5"/>
  <c r="Q619" i="5" s="1"/>
  <c r="K618" i="5"/>
  <c r="L618" i="5" s="1"/>
  <c r="M627" i="5"/>
  <c r="Q627" i="5" s="1"/>
  <c r="K626" i="5"/>
  <c r="L626" i="5" s="1"/>
  <c r="M663" i="5"/>
  <c r="Q663" i="5" s="1"/>
  <c r="K662" i="5"/>
  <c r="L662" i="5" s="1"/>
  <c r="M671" i="5"/>
  <c r="Q671" i="5" s="1"/>
  <c r="K670" i="5"/>
  <c r="L670" i="5" s="1"/>
  <c r="M677" i="5"/>
  <c r="Q677" i="5" s="1"/>
  <c r="K676" i="5"/>
  <c r="L676" i="5" s="1"/>
  <c r="M659" i="5"/>
  <c r="Q659" i="5" s="1"/>
  <c r="K658" i="5"/>
  <c r="L658" i="5" s="1"/>
  <c r="M653" i="5"/>
  <c r="Q653" i="5" s="1"/>
  <c r="K652" i="5"/>
  <c r="L652" i="5" s="1"/>
  <c r="M665" i="5"/>
  <c r="Q665" i="5" s="1"/>
  <c r="K664" i="5"/>
  <c r="L664" i="5" s="1"/>
  <c r="K614" i="5"/>
  <c r="L614" i="5" s="1"/>
  <c r="M661" i="5"/>
  <c r="Q661" i="5" s="1"/>
  <c r="K660" i="5"/>
  <c r="L660" i="5" s="1"/>
  <c r="M655" i="5"/>
  <c r="Q655" i="5" s="1"/>
  <c r="K654" i="5"/>
  <c r="L654" i="5" s="1"/>
  <c r="M667" i="5"/>
  <c r="Q667" i="5" s="1"/>
  <c r="K666" i="5"/>
  <c r="L666" i="5" s="1"/>
  <c r="M651" i="5"/>
  <c r="Q651" i="5" s="1"/>
  <c r="K650" i="5"/>
  <c r="L650" i="5" s="1"/>
  <c r="O452" i="5"/>
  <c r="P452" i="5"/>
  <c r="L729" i="5"/>
  <c r="M729" i="5"/>
  <c r="M1026" i="5"/>
  <c r="L1026" i="5"/>
  <c r="P438" i="5"/>
  <c r="O438" i="5"/>
  <c r="P480" i="5"/>
  <c r="O480" i="5"/>
  <c r="M540" i="5"/>
  <c r="L540" i="5"/>
  <c r="M564" i="5"/>
  <c r="L564" i="5"/>
  <c r="M584" i="5"/>
  <c r="L584" i="5"/>
  <c r="M711" i="5"/>
  <c r="L711" i="5"/>
  <c r="L849" i="5"/>
  <c r="M849" i="5"/>
  <c r="M962" i="5"/>
  <c r="L962" i="5"/>
  <c r="M1004" i="5"/>
  <c r="L1004" i="5"/>
  <c r="L1048" i="5"/>
  <c r="M1048" i="5"/>
  <c r="M859" i="5"/>
  <c r="L859" i="5"/>
  <c r="M902" i="5"/>
  <c r="L902" i="5"/>
  <c r="M827" i="5"/>
  <c r="L827" i="5"/>
  <c r="L865" i="5"/>
  <c r="M865" i="5"/>
  <c r="M906" i="5"/>
  <c r="L906" i="5"/>
  <c r="M932" i="5"/>
  <c r="L932" i="5"/>
  <c r="M1014" i="5"/>
  <c r="L1014" i="5"/>
  <c r="L1032" i="5"/>
  <c r="M1032" i="5"/>
  <c r="M970" i="5"/>
  <c r="L970" i="5"/>
  <c r="O444" i="5"/>
  <c r="P444" i="5"/>
  <c r="M534" i="5"/>
  <c r="L534" i="5"/>
  <c r="L542" i="5"/>
  <c r="M542" i="5"/>
  <c r="L737" i="5"/>
  <c r="M737" i="5"/>
  <c r="L833" i="5"/>
  <c r="M833" i="5"/>
  <c r="M843" i="5"/>
  <c r="L843" i="5"/>
  <c r="M898" i="5"/>
  <c r="L898" i="5"/>
  <c r="M964" i="5"/>
  <c r="L964" i="5"/>
  <c r="M966" i="5"/>
  <c r="L966" i="5"/>
  <c r="O430" i="5"/>
  <c r="P434" i="5"/>
  <c r="O434" i="5"/>
  <c r="M546" i="5"/>
  <c r="L546" i="5"/>
  <c r="M908" i="5"/>
  <c r="L908" i="5"/>
  <c r="L936" i="5"/>
  <c r="M936" i="5"/>
  <c r="M1044" i="5"/>
  <c r="L1044" i="5"/>
  <c r="P490" i="5"/>
  <c r="O490" i="5"/>
  <c r="M994" i="5"/>
  <c r="L994" i="5"/>
  <c r="M771" i="5"/>
  <c r="L771" i="5"/>
  <c r="M803" i="5"/>
  <c r="L803" i="5"/>
  <c r="M823" i="5"/>
  <c r="L823" i="5"/>
  <c r="M918" i="5"/>
  <c r="L918" i="5"/>
  <c r="M948" i="5"/>
  <c r="L948" i="5"/>
  <c r="P436" i="5"/>
  <c r="O436" i="5"/>
  <c r="O460" i="5"/>
  <c r="P460" i="5"/>
  <c r="P496" i="5"/>
  <c r="O496" i="5"/>
  <c r="M568" i="5"/>
  <c r="L568" i="5"/>
  <c r="M576" i="5"/>
  <c r="L576" i="5"/>
  <c r="M588" i="5"/>
  <c r="L588" i="5"/>
  <c r="L745" i="5"/>
  <c r="M745" i="5"/>
  <c r="M869" i="5"/>
  <c r="L869" i="5"/>
  <c r="M990" i="5"/>
  <c r="L990" i="5"/>
  <c r="L1040" i="5"/>
  <c r="M1040" i="5"/>
  <c r="L721" i="5"/>
  <c r="M721" i="5"/>
  <c r="M930" i="5"/>
  <c r="L930" i="5"/>
  <c r="M1030" i="5"/>
  <c r="L1030" i="5"/>
  <c r="P486" i="5"/>
  <c r="O486" i="5"/>
  <c r="M735" i="5"/>
  <c r="L735" i="5"/>
  <c r="L753" i="5"/>
  <c r="M753" i="5"/>
  <c r="M759" i="5"/>
  <c r="L759" i="5"/>
  <c r="L960" i="5"/>
  <c r="M960" i="5"/>
  <c r="M1018" i="5"/>
  <c r="L1018" i="5"/>
  <c r="G378" i="5"/>
  <c r="H378" i="5" s="1"/>
  <c r="S45" i="5"/>
  <c r="C743" i="5"/>
  <c r="C769" i="5"/>
  <c r="C950" i="5"/>
  <c r="C1000" i="5"/>
  <c r="C1012" i="5"/>
  <c r="C707" i="5"/>
  <c r="C725" i="5"/>
  <c r="C837" i="5"/>
  <c r="C853" i="5"/>
  <c r="C861" i="5"/>
  <c r="C896" i="5"/>
  <c r="C912" i="5"/>
  <c r="C922" i="5"/>
  <c r="C1010" i="5"/>
  <c r="C1042" i="5"/>
  <c r="C1052" i="5"/>
  <c r="C715" i="5"/>
  <c r="C733" i="5"/>
  <c r="C751" i="5"/>
  <c r="C757" i="5"/>
  <c r="C765" i="5"/>
  <c r="C942" i="5"/>
  <c r="C952" i="5"/>
  <c r="C996" i="5"/>
  <c r="C1020" i="5"/>
  <c r="C1038" i="5"/>
  <c r="C863" i="5"/>
  <c r="C719" i="5"/>
  <c r="C727" i="5"/>
  <c r="C739" i="5"/>
  <c r="C811" i="5"/>
  <c r="C839" i="5"/>
  <c r="C851" i="5"/>
  <c r="C855" i="5"/>
  <c r="C916" i="5"/>
  <c r="C926" i="5"/>
  <c r="C946" i="5"/>
  <c r="C956" i="5"/>
  <c r="C972" i="5"/>
  <c r="C1028" i="5"/>
  <c r="C1054" i="5"/>
  <c r="C801" i="5"/>
  <c r="C940" i="5"/>
  <c r="C709" i="5"/>
  <c r="C717" i="5"/>
  <c r="C773" i="5"/>
  <c r="C805" i="5"/>
  <c r="C829" i="5"/>
  <c r="C841" i="5"/>
  <c r="C867" i="5"/>
  <c r="C1006" i="5"/>
  <c r="C1022" i="5"/>
  <c r="C713" i="5"/>
  <c r="C831" i="5"/>
  <c r="C845" i="5"/>
  <c r="C900" i="5"/>
  <c r="C914" i="5"/>
  <c r="C924" i="5"/>
  <c r="C928" i="5"/>
  <c r="C944" i="5"/>
  <c r="C954" i="5"/>
  <c r="C958" i="5"/>
  <c r="C992" i="5"/>
  <c r="C998" i="5"/>
  <c r="C1016" i="5"/>
  <c r="C1034" i="5"/>
  <c r="C1056" i="5"/>
  <c r="C749" i="5"/>
  <c r="C809" i="5"/>
  <c r="C741" i="5"/>
  <c r="C747" i="5"/>
  <c r="C755" i="5"/>
  <c r="C761" i="5"/>
  <c r="C767" i="5"/>
  <c r="C775" i="5"/>
  <c r="C807" i="5"/>
  <c r="C835" i="5"/>
  <c r="C857" i="5"/>
  <c r="C894" i="5"/>
  <c r="C934" i="5"/>
  <c r="C938" i="5"/>
  <c r="C968" i="5"/>
  <c r="C1008" i="5"/>
  <c r="C1024" i="5"/>
  <c r="C1046" i="5"/>
  <c r="C1050" i="5"/>
  <c r="C763" i="5"/>
  <c r="C723" i="5"/>
  <c r="C731" i="5"/>
  <c r="C821" i="5"/>
  <c r="C825" i="5"/>
  <c r="C847" i="5"/>
  <c r="C904" i="5"/>
  <c r="C910" i="5"/>
  <c r="C920" i="5"/>
  <c r="C1002" i="5"/>
  <c r="C1036" i="5"/>
  <c r="C1058" i="5"/>
  <c r="I621" i="5"/>
  <c r="C621" i="5"/>
  <c r="I629" i="5"/>
  <c r="C629" i="5"/>
  <c r="I641" i="5"/>
  <c r="C641" i="5"/>
  <c r="I623" i="5"/>
  <c r="C623" i="5"/>
  <c r="I631" i="5"/>
  <c r="C631" i="5"/>
  <c r="I635" i="5"/>
  <c r="C635" i="5"/>
  <c r="I633" i="5"/>
  <c r="C633" i="5"/>
  <c r="I679" i="5"/>
  <c r="C679" i="5"/>
  <c r="I647" i="5"/>
  <c r="C647" i="5"/>
  <c r="I673" i="5"/>
  <c r="C673" i="5"/>
  <c r="I681" i="5"/>
  <c r="C681" i="5"/>
  <c r="I617" i="5"/>
  <c r="C617" i="5"/>
  <c r="I625" i="5"/>
  <c r="C625" i="5"/>
  <c r="C637" i="5"/>
  <c r="I643" i="5"/>
  <c r="C643" i="5"/>
  <c r="I649" i="5"/>
  <c r="C649" i="5"/>
  <c r="I669" i="5"/>
  <c r="C669" i="5"/>
  <c r="I675" i="5"/>
  <c r="C675" i="5"/>
  <c r="I645" i="5"/>
  <c r="C645" i="5"/>
  <c r="C613" i="5"/>
  <c r="M613" i="5" s="1"/>
  <c r="I639" i="5"/>
  <c r="C639" i="5"/>
  <c r="I657" i="5"/>
  <c r="C657" i="5"/>
  <c r="C468" i="5"/>
  <c r="C466" i="5"/>
  <c r="C470" i="5"/>
  <c r="C476" i="5"/>
  <c r="C482" i="5"/>
  <c r="C456" i="5"/>
  <c r="C494" i="5"/>
  <c r="C464" i="5"/>
  <c r="C478" i="5"/>
  <c r="C484" i="5"/>
  <c r="C446" i="5"/>
  <c r="C450" i="5"/>
  <c r="C458" i="5"/>
  <c r="C440" i="5"/>
  <c r="P440" i="5" s="1"/>
  <c r="C472" i="5"/>
  <c r="C448" i="5"/>
  <c r="C462" i="5"/>
  <c r="C442" i="5"/>
  <c r="C474" i="5"/>
  <c r="C488" i="5"/>
  <c r="C498" i="5"/>
  <c r="C432" i="5"/>
  <c r="C454" i="5"/>
  <c r="C492" i="5"/>
  <c r="M532" i="5"/>
  <c r="L532" i="5"/>
  <c r="C574" i="5"/>
  <c r="C580" i="5"/>
  <c r="C570" i="5"/>
  <c r="C558" i="5"/>
  <c r="C566" i="5"/>
  <c r="C586" i="5"/>
  <c r="C536" i="5"/>
  <c r="C578" i="5"/>
  <c r="M528" i="5"/>
  <c r="L528" i="5"/>
  <c r="C548" i="5"/>
  <c r="C554" i="5"/>
  <c r="C538" i="5"/>
  <c r="C560" i="5"/>
  <c r="C590" i="5"/>
  <c r="M530" i="5"/>
  <c r="L530" i="5"/>
  <c r="C582" i="5"/>
  <c r="C550" i="5"/>
  <c r="C544" i="5"/>
  <c r="C552" i="5"/>
  <c r="C556" i="5"/>
  <c r="C562" i="5"/>
  <c r="C572" i="5"/>
  <c r="U1036" i="5"/>
  <c r="U1048" i="5"/>
  <c r="U1008" i="5"/>
  <c r="U1012" i="5"/>
  <c r="U1040" i="5"/>
  <c r="AA731" i="5"/>
  <c r="U1024" i="5"/>
  <c r="U906" i="5"/>
  <c r="W821" i="5"/>
  <c r="U964" i="5"/>
  <c r="AA796" i="5"/>
  <c r="AB190" i="5"/>
  <c r="AA889" i="5"/>
  <c r="AB220" i="5"/>
  <c r="AB38" i="5"/>
  <c r="T280" i="5"/>
  <c r="T293" i="5" s="1"/>
  <c r="U869" i="5"/>
  <c r="R5" i="5"/>
  <c r="U1058" i="5"/>
  <c r="T401" i="5"/>
  <c r="T406" i="5" s="1"/>
  <c r="T90" i="5"/>
  <c r="U1042" i="5"/>
  <c r="T385" i="5"/>
  <c r="T396" i="5" s="1"/>
  <c r="W1052" i="5"/>
  <c r="K805" i="5"/>
  <c r="N805" i="5" s="1"/>
  <c r="U998" i="5"/>
  <c r="J896" i="5"/>
  <c r="U847" i="5"/>
  <c r="J805" i="5"/>
  <c r="K998" i="5"/>
  <c r="N998" i="5" s="1"/>
  <c r="K863" i="5"/>
  <c r="K958" i="5"/>
  <c r="N958" i="5" s="1"/>
  <c r="U896" i="5"/>
  <c r="U773" i="5"/>
  <c r="K847" i="5"/>
  <c r="N847" i="5" s="1"/>
  <c r="U805" i="5"/>
  <c r="J847" i="5"/>
  <c r="J934" i="5"/>
  <c r="AA723" i="5"/>
  <c r="U930" i="5"/>
  <c r="V1024" i="5"/>
  <c r="Q815" i="5"/>
  <c r="J958" i="5"/>
  <c r="J998" i="5"/>
  <c r="K1052" i="5"/>
  <c r="N1052" i="5" s="1"/>
  <c r="V723" i="5"/>
  <c r="U831" i="5"/>
  <c r="U1050" i="5"/>
  <c r="K773" i="5"/>
  <c r="N773" i="5" s="1"/>
  <c r="J831" i="5"/>
  <c r="V863" i="5"/>
  <c r="W1002" i="5"/>
  <c r="W1024" i="5"/>
  <c r="W1050" i="5"/>
  <c r="J1052" i="5"/>
  <c r="Y731" i="5"/>
  <c r="V934" i="5"/>
  <c r="J773" i="5"/>
  <c r="K831" i="5"/>
  <c r="K1002" i="5"/>
  <c r="N1002" i="5" s="1"/>
  <c r="K1024" i="5"/>
  <c r="N1024" i="5" s="1"/>
  <c r="K1050" i="5"/>
  <c r="N1050" i="5" s="1"/>
  <c r="W438" i="5"/>
  <c r="U1002" i="5"/>
  <c r="J1024" i="5"/>
  <c r="V773" i="5"/>
  <c r="AA773" i="5"/>
  <c r="U863" i="5"/>
  <c r="K930" i="5"/>
  <c r="N930" i="5" s="1"/>
  <c r="V958" i="5"/>
  <c r="U992" i="5"/>
  <c r="M302" i="5"/>
  <c r="M303" i="5" s="1"/>
  <c r="Y796" i="5"/>
  <c r="Y773" i="5"/>
  <c r="V1002" i="5"/>
  <c r="Y242" i="5"/>
  <c r="X392" i="5"/>
  <c r="V406" i="5"/>
  <c r="AA440" i="5"/>
  <c r="Y723" i="5"/>
  <c r="AB588" i="5"/>
  <c r="Y889" i="5"/>
  <c r="V906" i="5"/>
  <c r="AB484" i="5"/>
  <c r="V1048" i="5"/>
  <c r="AB192" i="5"/>
  <c r="Y61" i="5"/>
  <c r="T244" i="5"/>
  <c r="X460" i="5"/>
  <c r="X889" i="5"/>
  <c r="AB576" i="5"/>
  <c r="AB280" i="5"/>
  <c r="AB236" i="5"/>
  <c r="AA137" i="5"/>
  <c r="U214" i="5"/>
  <c r="AB254" i="5"/>
  <c r="V456" i="5"/>
  <c r="V482" i="5"/>
  <c r="X643" i="5"/>
  <c r="AA725" i="5"/>
  <c r="V767" i="5"/>
  <c r="V775" i="5"/>
  <c r="AA196" i="5"/>
  <c r="X285" i="5"/>
  <c r="Y578" i="5"/>
  <c r="U613" i="5"/>
  <c r="AA707" i="5"/>
  <c r="V753" i="5"/>
  <c r="Y230" i="5"/>
  <c r="X436" i="5"/>
  <c r="X452" i="5"/>
  <c r="U476" i="5"/>
  <c r="V625" i="5"/>
  <c r="Z641" i="5"/>
  <c r="Z673" i="5"/>
  <c r="V956" i="5"/>
  <c r="X747" i="5"/>
  <c r="X723" i="5"/>
  <c r="AB444" i="5"/>
  <c r="X731" i="5"/>
  <c r="T49" i="5"/>
  <c r="Y77" i="5"/>
  <c r="Z216" i="5"/>
  <c r="U248" i="5"/>
  <c r="V301" i="5"/>
  <c r="X572" i="5"/>
  <c r="U900" i="5"/>
  <c r="X773" i="5"/>
  <c r="AB206" i="5"/>
  <c r="V847" i="5"/>
  <c r="Z107" i="5"/>
  <c r="X125" i="5"/>
  <c r="X333" i="5"/>
  <c r="U353" i="5"/>
  <c r="V432" i="5"/>
  <c r="AB464" i="5" s="1"/>
  <c r="AA494" i="5"/>
  <c r="V825" i="5"/>
  <c r="U841" i="5"/>
  <c r="U1020" i="5"/>
  <c r="AB202" i="5"/>
  <c r="AB216" i="5"/>
  <c r="AB230" i="5"/>
  <c r="V190" i="5"/>
  <c r="AA258" i="5"/>
  <c r="AB234" i="5"/>
  <c r="AB546" i="5"/>
  <c r="U731" i="5"/>
  <c r="V1036" i="5"/>
  <c r="V653" i="5"/>
  <c r="W667" i="5"/>
  <c r="V821" i="5"/>
  <c r="S65" i="5"/>
  <c r="U147" i="5"/>
  <c r="W584" i="5"/>
  <c r="Y615" i="5"/>
  <c r="Y679" i="5"/>
  <c r="X763" i="5"/>
  <c r="V769" i="5"/>
  <c r="V964" i="5"/>
  <c r="J843" i="5"/>
  <c r="V719" i="5"/>
  <c r="V950" i="5"/>
  <c r="V843" i="5"/>
  <c r="V857" i="5"/>
  <c r="U679" i="5"/>
  <c r="V817" i="5"/>
  <c r="W1020" i="5"/>
  <c r="U747" i="5"/>
  <c r="Y747" i="5"/>
  <c r="V948" i="5"/>
  <c r="K1020" i="5"/>
  <c r="N1020" i="5" s="1"/>
  <c r="U920" i="5"/>
  <c r="Y761" i="5"/>
  <c r="U815" i="5"/>
  <c r="V1040" i="5"/>
  <c r="K950" i="5"/>
  <c r="N950" i="5" s="1"/>
  <c r="W1018" i="5"/>
  <c r="K1040" i="5"/>
  <c r="N1040" i="5" s="1"/>
  <c r="K1048" i="5"/>
  <c r="N1048" i="5" s="1"/>
  <c r="Z679" i="5"/>
  <c r="X769" i="5"/>
  <c r="U1018" i="5"/>
  <c r="J964" i="5"/>
  <c r="K1018" i="5"/>
  <c r="N1018" i="5" s="1"/>
  <c r="J1040" i="5"/>
  <c r="U811" i="5"/>
  <c r="J542" i="5"/>
  <c r="U922" i="5"/>
  <c r="U994" i="5"/>
  <c r="J769" i="5"/>
  <c r="J994" i="5"/>
  <c r="X811" i="5"/>
  <c r="K815" i="5"/>
  <c r="N815" i="5" s="1"/>
  <c r="K825" i="5"/>
  <c r="N825" i="5" s="1"/>
  <c r="J841" i="5"/>
  <c r="W1016" i="5"/>
  <c r="K920" i="5"/>
  <c r="N920" i="5" s="1"/>
  <c r="K972" i="5"/>
  <c r="N972" i="5" s="1"/>
  <c r="V747" i="5"/>
  <c r="X761" i="5"/>
  <c r="U825" i="5"/>
  <c r="V815" i="5"/>
  <c r="U948" i="5"/>
  <c r="V1016" i="5"/>
  <c r="J910" i="5"/>
  <c r="K924" i="5"/>
  <c r="N924" i="5" s="1"/>
  <c r="J948" i="5"/>
  <c r="V972" i="5"/>
  <c r="K747" i="5"/>
  <c r="N747" i="5" s="1"/>
  <c r="AA747" i="5"/>
  <c r="V910" i="5"/>
  <c r="U910" i="5"/>
  <c r="V1046" i="5"/>
  <c r="J825" i="5"/>
  <c r="K841" i="5"/>
  <c r="W1046" i="5"/>
  <c r="Y755" i="5"/>
  <c r="U1016" i="5"/>
  <c r="U1046" i="5"/>
  <c r="J815" i="5"/>
  <c r="K1016" i="5"/>
  <c r="N1016" i="5" s="1"/>
  <c r="J1020" i="5"/>
  <c r="U972" i="5"/>
  <c r="J857" i="5"/>
  <c r="J920" i="5"/>
  <c r="U857" i="5"/>
  <c r="K1046" i="5"/>
  <c r="N1046" i="5" s="1"/>
  <c r="K751" i="5"/>
  <c r="N751" i="5" s="1"/>
  <c r="J743" i="5"/>
  <c r="AA496" i="5"/>
  <c r="AA542" i="5"/>
  <c r="X584" i="5"/>
  <c r="U653" i="5"/>
  <c r="Z653" i="5"/>
  <c r="X743" i="5"/>
  <c r="X837" i="5"/>
  <c r="V751" i="5"/>
  <c r="Y751" i="5"/>
  <c r="K821" i="5"/>
  <c r="N821" i="5" s="1"/>
  <c r="X653" i="5"/>
  <c r="U821" i="5"/>
  <c r="K743" i="5"/>
  <c r="N743" i="5" s="1"/>
  <c r="AA743" i="5"/>
  <c r="J821" i="5"/>
  <c r="X751" i="5"/>
  <c r="S75" i="5"/>
  <c r="W586" i="5"/>
  <c r="X329" i="5"/>
  <c r="W101" i="5"/>
  <c r="K99" i="5"/>
  <c r="N99" i="5" s="1"/>
  <c r="W99" i="5"/>
  <c r="W133" i="5"/>
  <c r="Z625" i="5"/>
  <c r="K894" i="5"/>
  <c r="N894" i="5" s="1"/>
  <c r="Z63" i="5"/>
  <c r="Z59" i="5"/>
  <c r="Z121" i="5"/>
  <c r="X103" i="5"/>
  <c r="Y59" i="5"/>
  <c r="X153" i="5"/>
  <c r="V103" i="5"/>
  <c r="AB143" i="5" s="1"/>
  <c r="V63" i="5"/>
  <c r="Y63" i="5"/>
  <c r="J811" i="5"/>
  <c r="Y542" i="5"/>
  <c r="AA584" i="5"/>
  <c r="V922" i="5"/>
  <c r="J817" i="5"/>
  <c r="X542" i="5"/>
  <c r="V446" i="5"/>
  <c r="X564" i="5"/>
  <c r="W615" i="5"/>
  <c r="Y719" i="5"/>
  <c r="AA769" i="5"/>
  <c r="Y769" i="5"/>
  <c r="U817" i="5"/>
  <c r="V859" i="5"/>
  <c r="K817" i="5"/>
  <c r="N817" i="5" s="1"/>
  <c r="V811" i="5"/>
  <c r="K922" i="5"/>
  <c r="N922" i="5" s="1"/>
  <c r="AA763" i="5"/>
  <c r="U827" i="5"/>
  <c r="K912" i="5"/>
  <c r="N912" i="5" s="1"/>
  <c r="X859" i="5"/>
  <c r="Y198" i="5"/>
  <c r="Y564" i="5"/>
  <c r="Z615" i="5"/>
  <c r="X679" i="5"/>
  <c r="AA719" i="5"/>
  <c r="X719" i="5"/>
  <c r="V763" i="5"/>
  <c r="U843" i="5"/>
  <c r="V827" i="5"/>
  <c r="V679" i="5"/>
  <c r="J763" i="5"/>
  <c r="J922" i="5"/>
  <c r="K926" i="5"/>
  <c r="N926" i="5" s="1"/>
  <c r="W542" i="5"/>
  <c r="K859" i="5"/>
  <c r="N859" i="5" s="1"/>
  <c r="J912" i="5"/>
  <c r="K763" i="5"/>
  <c r="N763" i="5" s="1"/>
  <c r="K811" i="5"/>
  <c r="N811" i="5" s="1"/>
  <c r="K542" i="5"/>
  <c r="N542" i="5" s="1"/>
  <c r="U859" i="5"/>
  <c r="V912" i="5"/>
  <c r="K719" i="5"/>
  <c r="N719" i="5" s="1"/>
  <c r="K769" i="5"/>
  <c r="N769" i="5" s="1"/>
  <c r="J859" i="5"/>
  <c r="J926" i="5"/>
  <c r="W679" i="5"/>
  <c r="Y763" i="5"/>
  <c r="J679" i="5"/>
  <c r="U299" i="5"/>
  <c r="U45" i="5"/>
  <c r="K101" i="5"/>
  <c r="N101" i="5" s="1"/>
  <c r="V101" i="5"/>
  <c r="AB141" i="5" s="1"/>
  <c r="J133" i="5"/>
  <c r="U99" i="5"/>
  <c r="V99" i="5"/>
  <c r="AB139" i="5" s="1"/>
  <c r="Z117" i="5"/>
  <c r="U133" i="5"/>
  <c r="Z149" i="5"/>
  <c r="AA77" i="5"/>
  <c r="U49" i="5"/>
  <c r="X133" i="5"/>
  <c r="K149" i="5"/>
  <c r="N149" i="5" s="1"/>
  <c r="Z133" i="5"/>
  <c r="W43" i="5"/>
  <c r="U117" i="5"/>
  <c r="V904" i="5"/>
  <c r="X867" i="5"/>
  <c r="L133" i="5"/>
  <c r="N133" i="5" s="1"/>
  <c r="J99" i="5"/>
  <c r="K131" i="5"/>
  <c r="K962" i="5"/>
  <c r="N962" i="5" s="1"/>
  <c r="V966" i="5"/>
  <c r="AB153" i="5"/>
  <c r="Z163" i="5"/>
  <c r="Y65" i="5"/>
  <c r="X99" i="5"/>
  <c r="AA117" i="5"/>
  <c r="AA133" i="5"/>
  <c r="X117" i="5"/>
  <c r="K938" i="5"/>
  <c r="N938" i="5" s="1"/>
  <c r="AA101" i="5"/>
  <c r="Y343" i="5"/>
  <c r="W657" i="5"/>
  <c r="K456" i="5"/>
  <c r="N456" i="5" s="1"/>
  <c r="Z226" i="5"/>
  <c r="U392" i="5"/>
  <c r="Y649" i="5"/>
  <c r="W406" i="5"/>
  <c r="Z101" i="5"/>
  <c r="U101" i="5"/>
  <c r="V45" i="5"/>
  <c r="X196" i="5"/>
  <c r="J101" i="5"/>
  <c r="T45" i="5"/>
  <c r="X101" i="5"/>
  <c r="X657" i="5"/>
  <c r="Y709" i="5"/>
  <c r="X45" i="5"/>
  <c r="Z45" i="5"/>
  <c r="J49" i="5"/>
  <c r="X406" i="5"/>
  <c r="Y49" i="5"/>
  <c r="U649" i="5"/>
  <c r="W325" i="5"/>
  <c r="W643" i="5"/>
  <c r="Z77" i="5"/>
  <c r="Z49" i="5"/>
  <c r="K440" i="5"/>
  <c r="N440" i="5" s="1"/>
  <c r="U406" i="5"/>
  <c r="J216" i="5"/>
  <c r="U226" i="5"/>
  <c r="Y244" i="5"/>
  <c r="T258" i="5"/>
  <c r="Y331" i="5"/>
  <c r="W343" i="5"/>
  <c r="X374" i="5"/>
  <c r="Y392" i="5"/>
  <c r="AA456" i="5"/>
  <c r="U657" i="5"/>
  <c r="V657" i="5"/>
  <c r="Z649" i="5"/>
  <c r="U739" i="5"/>
  <c r="AA775" i="5"/>
  <c r="U867" i="5"/>
  <c r="U966" i="5"/>
  <c r="V1010" i="5"/>
  <c r="J228" i="5"/>
  <c r="J534" i="5"/>
  <c r="J643" i="5"/>
  <c r="K900" i="5"/>
  <c r="N900" i="5" s="1"/>
  <c r="J914" i="5"/>
  <c r="W1034" i="5"/>
  <c r="V49" i="5"/>
  <c r="W649" i="5"/>
  <c r="X649" i="5"/>
  <c r="Z325" i="5"/>
  <c r="V335" i="5"/>
  <c r="J77" i="5"/>
  <c r="W440" i="5"/>
  <c r="V374" i="5"/>
  <c r="W538" i="5"/>
  <c r="Z657" i="5"/>
  <c r="J649" i="5"/>
  <c r="K49" i="5"/>
  <c r="U77" i="5"/>
  <c r="X49" i="5"/>
  <c r="W49" i="5"/>
  <c r="V77" i="5"/>
  <c r="AB107" i="5" s="1"/>
  <c r="L49" i="5"/>
  <c r="T200" i="5"/>
  <c r="V230" i="5"/>
  <c r="X258" i="5"/>
  <c r="Z291" i="5"/>
  <c r="V325" i="5"/>
  <c r="X335" i="5"/>
  <c r="S374" i="5"/>
  <c r="Y406" i="5"/>
  <c r="Y643" i="5"/>
  <c r="X709" i="5"/>
  <c r="M328" i="5"/>
  <c r="M329" i="5" s="1"/>
  <c r="X307" i="5"/>
  <c r="AA242" i="5"/>
  <c r="W394" i="5"/>
  <c r="S77" i="5"/>
  <c r="AA228" i="5"/>
  <c r="U335" i="5"/>
  <c r="U643" i="5"/>
  <c r="L77" i="5"/>
  <c r="K125" i="5"/>
  <c r="X77" i="5"/>
  <c r="X198" i="5"/>
  <c r="J440" i="5"/>
  <c r="W77" i="5"/>
  <c r="X440" i="5"/>
  <c r="V226" i="5"/>
  <c r="U242" i="5"/>
  <c r="Z307" i="5"/>
  <c r="X343" i="5"/>
  <c r="AA374" i="5"/>
  <c r="Z406" i="5"/>
  <c r="V649" i="5"/>
  <c r="Z643" i="5"/>
  <c r="J374" i="5"/>
  <c r="J835" i="5"/>
  <c r="Y440" i="5"/>
  <c r="X242" i="5"/>
  <c r="Z343" i="5"/>
  <c r="W392" i="5"/>
  <c r="V376" i="5"/>
  <c r="K77" i="5"/>
  <c r="T77" i="5"/>
  <c r="M77" i="5"/>
  <c r="AA210" i="5"/>
  <c r="V228" i="5"/>
  <c r="X327" i="5"/>
  <c r="Y335" i="5"/>
  <c r="Y374" i="5"/>
  <c r="W484" i="5"/>
  <c r="V643" i="5"/>
  <c r="Y657" i="5"/>
  <c r="AA709" i="5"/>
  <c r="Z709" i="5"/>
  <c r="X739" i="5"/>
  <c r="U1056" i="5"/>
  <c r="J394" i="5"/>
  <c r="K807" i="5"/>
  <c r="N807" i="5" s="1"/>
  <c r="V299" i="5"/>
  <c r="T376" i="5"/>
  <c r="Y613" i="5"/>
  <c r="T198" i="5"/>
  <c r="AA230" i="5"/>
  <c r="X244" i="5"/>
  <c r="U291" i="5"/>
  <c r="U311" i="5"/>
  <c r="Z376" i="5"/>
  <c r="AA376" i="5"/>
  <c r="Y408" i="5"/>
  <c r="K228" i="5"/>
  <c r="N228" i="5" s="1"/>
  <c r="K394" i="5"/>
  <c r="N394" i="5" s="1"/>
  <c r="K476" i="5"/>
  <c r="N476" i="5" s="1"/>
  <c r="Z309" i="5"/>
  <c r="AA198" i="5"/>
  <c r="AA212" i="5"/>
  <c r="W212" i="5"/>
  <c r="K460" i="5"/>
  <c r="N460" i="5" s="1"/>
  <c r="Z285" i="5"/>
  <c r="Y285" i="5"/>
  <c r="V291" i="5"/>
  <c r="Y327" i="5"/>
  <c r="W376" i="5"/>
  <c r="Y376" i="5"/>
  <c r="X394" i="5"/>
  <c r="Z408" i="5"/>
  <c r="X544" i="5"/>
  <c r="W633" i="5"/>
  <c r="K244" i="5"/>
  <c r="N244" i="5" s="1"/>
  <c r="V347" i="5"/>
  <c r="K408" i="5"/>
  <c r="N408" i="5" s="1"/>
  <c r="U228" i="5"/>
  <c r="X347" i="5"/>
  <c r="U408" i="5"/>
  <c r="U198" i="5"/>
  <c r="J198" i="5"/>
  <c r="V212" i="5"/>
  <c r="T214" i="5"/>
  <c r="V285" i="5"/>
  <c r="U285" i="5"/>
  <c r="Z613" i="5"/>
  <c r="U244" i="5"/>
  <c r="Z299" i="5"/>
  <c r="X309" i="5"/>
  <c r="Y347" i="5"/>
  <c r="Z394" i="5"/>
  <c r="X446" i="5"/>
  <c r="Y586" i="5"/>
  <c r="W641" i="5"/>
  <c r="Z645" i="5"/>
  <c r="J244" i="5"/>
  <c r="J408" i="5"/>
  <c r="J675" i="5"/>
  <c r="K845" i="5"/>
  <c r="N845" i="5" s="1"/>
  <c r="W446" i="5"/>
  <c r="X212" i="5"/>
  <c r="J285" i="5"/>
  <c r="K707" i="5"/>
  <c r="N707" i="5" s="1"/>
  <c r="Y228" i="5"/>
  <c r="V244" i="5"/>
  <c r="X299" i="5"/>
  <c r="Z327" i="5"/>
  <c r="X376" i="5"/>
  <c r="S380" i="5"/>
  <c r="V408" i="5"/>
  <c r="Y446" i="5"/>
  <c r="U641" i="5"/>
  <c r="U673" i="5"/>
  <c r="U1022" i="5"/>
  <c r="K212" i="5"/>
  <c r="N212" i="5" s="1"/>
  <c r="J291" i="5"/>
  <c r="U212" i="5"/>
  <c r="T212" i="5"/>
  <c r="I613" i="5"/>
  <c r="X228" i="5"/>
  <c r="Y291" i="5"/>
  <c r="V309" i="5"/>
  <c r="Y299" i="5"/>
  <c r="V327" i="5"/>
  <c r="U347" i="5"/>
  <c r="Z347" i="5"/>
  <c r="S376" i="5"/>
  <c r="Y394" i="5"/>
  <c r="Y635" i="5"/>
  <c r="W673" i="5"/>
  <c r="M298" i="5"/>
  <c r="M299" i="5" s="1"/>
  <c r="K376" i="5"/>
  <c r="N376" i="5" s="1"/>
  <c r="U327" i="5"/>
  <c r="Y212" i="5"/>
  <c r="V198" i="5"/>
  <c r="T228" i="5"/>
  <c r="AA244" i="5"/>
  <c r="X291" i="5"/>
  <c r="U309" i="5"/>
  <c r="Y309" i="5"/>
  <c r="U394" i="5"/>
  <c r="X408" i="5"/>
  <c r="AA408" i="5"/>
  <c r="AA446" i="5"/>
  <c r="AA578" i="5"/>
  <c r="Y617" i="5"/>
  <c r="V641" i="5"/>
  <c r="V645" i="5"/>
  <c r="W498" i="5"/>
  <c r="J299" i="5"/>
  <c r="K284" i="5"/>
  <c r="L284" i="5" s="1"/>
  <c r="L285" i="5" s="1"/>
  <c r="M284" i="5"/>
  <c r="M285" i="5" s="1"/>
  <c r="V214" i="5"/>
  <c r="X214" i="5"/>
  <c r="X613" i="5"/>
  <c r="U113" i="5"/>
  <c r="AA522" i="5"/>
  <c r="T246" i="5"/>
  <c r="Y329" i="5"/>
  <c r="X396" i="5"/>
  <c r="Y476" i="5"/>
  <c r="Y492" i="5"/>
  <c r="J707" i="5"/>
  <c r="U578" i="5"/>
  <c r="X560" i="5"/>
  <c r="AA554" i="5"/>
  <c r="Z633" i="5"/>
  <c r="W669" i="5"/>
  <c r="X675" i="5"/>
  <c r="V349" i="5"/>
  <c r="J492" i="5"/>
  <c r="J538" i="5"/>
  <c r="J554" i="5"/>
  <c r="L45" i="5"/>
  <c r="N45" i="5" s="1"/>
  <c r="AA115" i="5"/>
  <c r="X113" i="5"/>
  <c r="J613" i="5"/>
  <c r="X230" i="5"/>
  <c r="W246" i="5"/>
  <c r="J149" i="5"/>
  <c r="Y311" i="5"/>
  <c r="Z349" i="5"/>
  <c r="AA380" i="5"/>
  <c r="U396" i="5"/>
  <c r="Z396" i="5"/>
  <c r="V528" i="5"/>
  <c r="X538" i="5"/>
  <c r="V560" i="5"/>
  <c r="X554" i="5"/>
  <c r="AA560" i="5"/>
  <c r="V633" i="5"/>
  <c r="W675" i="5"/>
  <c r="AA715" i="5"/>
  <c r="K214" i="5"/>
  <c r="N214" i="5" s="1"/>
  <c r="Z311" i="5"/>
  <c r="J113" i="5"/>
  <c r="Z113" i="5"/>
  <c r="J214" i="5"/>
  <c r="J476" i="5"/>
  <c r="J635" i="5"/>
  <c r="W476" i="5"/>
  <c r="Y560" i="5"/>
  <c r="Z635" i="5"/>
  <c r="V669" i="5"/>
  <c r="J528" i="5"/>
  <c r="K560" i="5"/>
  <c r="N560" i="5" s="1"/>
  <c r="K578" i="5"/>
  <c r="N578" i="5" s="1"/>
  <c r="U230" i="5"/>
  <c r="V554" i="5"/>
  <c r="V635" i="5"/>
  <c r="Z669" i="5"/>
  <c r="X246" i="5"/>
  <c r="X349" i="5"/>
  <c r="X380" i="5"/>
  <c r="W492" i="5"/>
  <c r="V538" i="5"/>
  <c r="U675" i="5"/>
  <c r="Y669" i="5"/>
  <c r="J117" i="5"/>
  <c r="K117" i="5"/>
  <c r="N117" i="5" s="1"/>
  <c r="Y141" i="5"/>
  <c r="W45" i="5"/>
  <c r="Z99" i="5"/>
  <c r="Y214" i="5"/>
  <c r="X149" i="5"/>
  <c r="U149" i="5"/>
  <c r="W113" i="5"/>
  <c r="X707" i="5"/>
  <c r="L113" i="5"/>
  <c r="N113" i="5" s="1"/>
  <c r="Y707" i="5"/>
  <c r="V522" i="5"/>
  <c r="AB560" i="5" s="1"/>
  <c r="W522" i="5"/>
  <c r="AA246" i="5"/>
  <c r="V311" i="5"/>
  <c r="U329" i="5"/>
  <c r="V329" i="5"/>
  <c r="Y380" i="5"/>
  <c r="W396" i="5"/>
  <c r="Y396" i="5"/>
  <c r="AA476" i="5"/>
  <c r="X492" i="5"/>
  <c r="Y528" i="5"/>
  <c r="AA538" i="5"/>
  <c r="W578" i="5"/>
  <c r="Y633" i="5"/>
  <c r="W635" i="5"/>
  <c r="AA635" i="5"/>
  <c r="K230" i="5"/>
  <c r="N230" i="5" s="1"/>
  <c r="K436" i="5"/>
  <c r="N436" i="5" s="1"/>
  <c r="AA214" i="5"/>
  <c r="Z329" i="5"/>
  <c r="T380" i="5"/>
  <c r="Y538" i="5"/>
  <c r="U633" i="5"/>
  <c r="V113" i="5"/>
  <c r="AB151" i="5" s="1"/>
  <c r="T230" i="5"/>
  <c r="U246" i="5"/>
  <c r="AA349" i="5"/>
  <c r="W528" i="5"/>
  <c r="W554" i="5"/>
  <c r="V117" i="5"/>
  <c r="AB155" i="5" s="1"/>
  <c r="V133" i="5"/>
  <c r="AB171" i="5" s="1"/>
  <c r="J45" i="5"/>
  <c r="W117" i="5"/>
  <c r="Y45" i="5"/>
  <c r="W613" i="5"/>
  <c r="Y522" i="5"/>
  <c r="V380" i="5"/>
  <c r="X476" i="5"/>
  <c r="X528" i="5"/>
  <c r="W560" i="5"/>
  <c r="Y554" i="5"/>
  <c r="X633" i="5"/>
  <c r="X635" i="5"/>
  <c r="U669" i="5"/>
  <c r="X669" i="5"/>
  <c r="Z675" i="5"/>
  <c r="K522" i="5"/>
  <c r="N522" i="5" s="1"/>
  <c r="J230" i="5"/>
  <c r="K246" i="5"/>
  <c r="N246" i="5" s="1"/>
  <c r="J327" i="5"/>
  <c r="K492" i="5"/>
  <c r="N492" i="5" s="1"/>
  <c r="J578" i="5"/>
  <c r="J669" i="5"/>
  <c r="J715" i="5"/>
  <c r="X522" i="5"/>
  <c r="Y246" i="5"/>
  <c r="Z246" i="5"/>
  <c r="X311" i="5"/>
  <c r="U349" i="5"/>
  <c r="Y349" i="5"/>
  <c r="W380" i="5"/>
  <c r="AA492" i="5"/>
  <c r="AA528" i="5"/>
  <c r="X578" i="5"/>
  <c r="U635" i="5"/>
  <c r="Y675" i="5"/>
  <c r="Z380" i="5"/>
  <c r="K538" i="5"/>
  <c r="N538" i="5" s="1"/>
  <c r="K554" i="5"/>
  <c r="N554" i="5" s="1"/>
  <c r="W733" i="5"/>
  <c r="Z835" i="5"/>
  <c r="Z147" i="5"/>
  <c r="K147" i="5"/>
  <c r="Y43" i="5"/>
  <c r="AB169" i="5"/>
  <c r="AA484" i="5"/>
  <c r="X566" i="5"/>
  <c r="U617" i="5"/>
  <c r="X625" i="5"/>
  <c r="U681" i="5"/>
  <c r="Y725" i="5"/>
  <c r="X715" i="5"/>
  <c r="V914" i="5"/>
  <c r="AA673" i="5"/>
  <c r="Z566" i="5"/>
  <c r="Y498" i="5"/>
  <c r="H767" i="5"/>
  <c r="K566" i="5"/>
  <c r="N566" i="5" s="1"/>
  <c r="J641" i="5"/>
  <c r="K767" i="5"/>
  <c r="N767" i="5" s="1"/>
  <c r="K775" i="5"/>
  <c r="N775" i="5" s="1"/>
  <c r="J807" i="5"/>
  <c r="J163" i="5"/>
  <c r="T47" i="5"/>
  <c r="X147" i="5"/>
  <c r="K115" i="5"/>
  <c r="N115" i="5" s="1"/>
  <c r="Z115" i="5"/>
  <c r="X107" i="5"/>
  <c r="Y200" i="5"/>
  <c r="Y351" i="5"/>
  <c r="X484" i="5"/>
  <c r="W544" i="5"/>
  <c r="X586" i="5"/>
  <c r="W617" i="5"/>
  <c r="U625" i="5"/>
  <c r="Y641" i="5"/>
  <c r="V725" i="5"/>
  <c r="Y715" i="5"/>
  <c r="AA767" i="5"/>
  <c r="Y775" i="5"/>
  <c r="U851" i="5"/>
  <c r="U904" i="5"/>
  <c r="X498" i="5"/>
  <c r="V248" i="5"/>
  <c r="K484" i="5"/>
  <c r="N484" i="5" s="1"/>
  <c r="J617" i="5"/>
  <c r="J681" i="5"/>
  <c r="K725" i="5"/>
  <c r="N725" i="5" s="1"/>
  <c r="J767" i="5"/>
  <c r="K715" i="5"/>
  <c r="N715" i="5" s="1"/>
  <c r="K851" i="5"/>
  <c r="N851" i="5" s="1"/>
  <c r="K904" i="5"/>
  <c r="N904" i="5" s="1"/>
  <c r="K966" i="5"/>
  <c r="N966" i="5" s="1"/>
  <c r="J125" i="5"/>
  <c r="AA147" i="5"/>
  <c r="J43" i="5"/>
  <c r="X43" i="5"/>
  <c r="L147" i="5"/>
  <c r="K43" i="5"/>
  <c r="N43" i="5" s="1"/>
  <c r="L131" i="5"/>
  <c r="Y484" i="5"/>
  <c r="U498" i="5"/>
  <c r="Y544" i="5"/>
  <c r="W566" i="5"/>
  <c r="V566" i="5"/>
  <c r="AA566" i="5"/>
  <c r="W645" i="5"/>
  <c r="X681" i="5"/>
  <c r="Y673" i="5"/>
  <c r="AA733" i="5"/>
  <c r="X725" i="5"/>
  <c r="X775" i="5"/>
  <c r="Y767" i="5"/>
  <c r="V1006" i="5"/>
  <c r="U1028" i="5"/>
  <c r="J484" i="5"/>
  <c r="K498" i="5"/>
  <c r="N498" i="5" s="1"/>
  <c r="K586" i="5"/>
  <c r="N586" i="5" s="1"/>
  <c r="J625" i="5"/>
  <c r="K544" i="5"/>
  <c r="N544" i="5" s="1"/>
  <c r="J725" i="5"/>
  <c r="J904" i="5"/>
  <c r="J938" i="5"/>
  <c r="K1034" i="5"/>
  <c r="N1034" i="5" s="1"/>
  <c r="J1056" i="5"/>
  <c r="J107" i="5"/>
  <c r="K163" i="5"/>
  <c r="U43" i="5"/>
  <c r="W131" i="5"/>
  <c r="V43" i="5"/>
  <c r="V147" i="5"/>
  <c r="L107" i="5"/>
  <c r="Z484" i="5"/>
  <c r="AA544" i="5"/>
  <c r="Y566" i="5"/>
  <c r="AA586" i="5"/>
  <c r="Z617" i="5"/>
  <c r="W625" i="5"/>
  <c r="X673" i="5"/>
  <c r="Y681" i="5"/>
  <c r="AA739" i="5"/>
  <c r="V739" i="5"/>
  <c r="U835" i="5"/>
  <c r="V681" i="5"/>
  <c r="K733" i="5"/>
  <c r="N733" i="5" s="1"/>
  <c r="J739" i="5"/>
  <c r="J775" i="5"/>
  <c r="J900" i="5"/>
  <c r="V962" i="5"/>
  <c r="W1056" i="5"/>
  <c r="L163" i="5"/>
  <c r="X163" i="5"/>
  <c r="J147" i="5"/>
  <c r="U163" i="5"/>
  <c r="U115" i="5"/>
  <c r="Z43" i="5"/>
  <c r="Z131" i="5"/>
  <c r="W107" i="5"/>
  <c r="W115" i="5"/>
  <c r="X115" i="5"/>
  <c r="V484" i="5"/>
  <c r="X617" i="5"/>
  <c r="X641" i="5"/>
  <c r="X645" i="5"/>
  <c r="X733" i="5"/>
  <c r="Y739" i="5"/>
  <c r="X767" i="5"/>
  <c r="U807" i="5"/>
  <c r="V938" i="5"/>
  <c r="U1010" i="5"/>
  <c r="V1034" i="5"/>
  <c r="AA498" i="5"/>
  <c r="J962" i="5"/>
  <c r="K1056" i="5"/>
  <c r="N1056" i="5" s="1"/>
  <c r="AA163" i="5"/>
  <c r="J141" i="5"/>
  <c r="AA141" i="5"/>
  <c r="V125" i="5"/>
  <c r="AB163" i="5" s="1"/>
  <c r="T43" i="5"/>
  <c r="J115" i="5"/>
  <c r="U131" i="5"/>
  <c r="X131" i="5"/>
  <c r="X293" i="5"/>
  <c r="Y625" i="5"/>
  <c r="U645" i="5"/>
  <c r="W681" i="5"/>
  <c r="Y645" i="5"/>
  <c r="Z681" i="5"/>
  <c r="Y733" i="5"/>
  <c r="V851" i="5"/>
  <c r="U1006" i="5"/>
  <c r="U1034" i="5"/>
  <c r="AA711" i="5"/>
  <c r="X157" i="5"/>
  <c r="X141" i="5"/>
  <c r="Z141" i="5"/>
  <c r="U107" i="5"/>
  <c r="U141" i="5"/>
  <c r="AA250" i="5"/>
  <c r="Z287" i="5"/>
  <c r="AA530" i="5"/>
  <c r="X745" i="5"/>
  <c r="U894" i="5"/>
  <c r="J956" i="5"/>
  <c r="K1022" i="5"/>
  <c r="N1022" i="5" s="1"/>
  <c r="X665" i="5"/>
  <c r="AA157" i="5"/>
  <c r="Z125" i="5"/>
  <c r="V107" i="5"/>
  <c r="AB145" i="5" s="1"/>
  <c r="X432" i="5"/>
  <c r="Y468" i="5"/>
  <c r="X534" i="5"/>
  <c r="J157" i="5"/>
  <c r="L155" i="5"/>
  <c r="U157" i="5"/>
  <c r="K107" i="5"/>
  <c r="U204" i="5"/>
  <c r="K480" i="5"/>
  <c r="N480" i="5" s="1"/>
  <c r="X287" i="5"/>
  <c r="AA574" i="5"/>
  <c r="AA745" i="5"/>
  <c r="Y737" i="5"/>
  <c r="L298" i="5"/>
  <c r="L299" i="5" s="1"/>
  <c r="Y572" i="5"/>
  <c r="U125" i="5"/>
  <c r="W141" i="5"/>
  <c r="K157" i="5"/>
  <c r="Z157" i="5"/>
  <c r="L125" i="5"/>
  <c r="T252" i="5"/>
  <c r="U829" i="5"/>
  <c r="V952" i="5"/>
  <c r="J319" i="5"/>
  <c r="W125" i="5"/>
  <c r="L157" i="5"/>
  <c r="L141" i="5"/>
  <c r="N141" i="5" s="1"/>
  <c r="AA125" i="5"/>
  <c r="V141" i="5"/>
  <c r="X155" i="5"/>
  <c r="Y250" i="5"/>
  <c r="U659" i="5"/>
  <c r="AB121" i="5"/>
  <c r="AB111" i="5"/>
  <c r="AB119" i="5"/>
  <c r="AB99" i="5"/>
  <c r="AB103" i="5"/>
  <c r="AB90" i="5"/>
  <c r="AB113" i="5"/>
  <c r="AB115" i="5"/>
  <c r="AB117" i="5"/>
  <c r="Y113" i="5"/>
  <c r="Y115" i="5"/>
  <c r="AB123" i="5"/>
  <c r="Y147" i="5"/>
  <c r="AB101" i="5"/>
  <c r="Y107" i="5"/>
  <c r="AB97" i="5"/>
  <c r="Y133" i="5"/>
  <c r="Y125" i="5"/>
  <c r="Y131" i="5"/>
  <c r="Y163" i="5"/>
  <c r="AB95" i="5"/>
  <c r="Y157" i="5"/>
  <c r="Y117" i="5"/>
  <c r="Y101" i="5"/>
  <c r="Y99" i="5"/>
  <c r="Y149" i="5"/>
  <c r="AB68" i="5"/>
  <c r="AB75" i="5"/>
  <c r="AB73" i="5"/>
  <c r="AB54" i="5"/>
  <c r="AB59" i="5"/>
  <c r="AB61" i="5"/>
  <c r="AA45" i="5"/>
  <c r="AA49" i="5"/>
  <c r="AA43" i="5"/>
  <c r="AB45" i="5"/>
  <c r="AB43" i="5"/>
  <c r="S49" i="5"/>
  <c r="Z544" i="5"/>
  <c r="U715" i="5"/>
  <c r="AB244" i="5"/>
  <c r="AB226" i="5"/>
  <c r="AB214" i="5"/>
  <c r="AB256" i="5"/>
  <c r="AB238" i="5"/>
  <c r="W230" i="5"/>
  <c r="AB228" i="5"/>
  <c r="W198" i="5"/>
  <c r="AB198" i="5"/>
  <c r="AB212" i="5"/>
  <c r="AB258" i="5"/>
  <c r="AB246" i="5"/>
  <c r="W228" i="5"/>
  <c r="AB194" i="5"/>
  <c r="AB208" i="5"/>
  <c r="AB252" i="5"/>
  <c r="AB240" i="5"/>
  <c r="AB196" i="5"/>
  <c r="AB204" i="5"/>
  <c r="AB248" i="5"/>
  <c r="W244" i="5"/>
  <c r="AB232" i="5"/>
  <c r="AB218" i="5"/>
  <c r="W214" i="5"/>
  <c r="AB200" i="5"/>
  <c r="W258" i="5"/>
  <c r="AB250" i="5"/>
  <c r="W242" i="5"/>
  <c r="AB242" i="5"/>
  <c r="AB224" i="5"/>
  <c r="AB222" i="5"/>
  <c r="W222" i="5"/>
  <c r="AB210" i="5"/>
  <c r="H16" i="3"/>
  <c r="V1020" i="5"/>
  <c r="V926" i="5"/>
  <c r="V1028" i="5"/>
  <c r="V924" i="5"/>
  <c r="V835" i="5"/>
  <c r="V831" i="5"/>
  <c r="V837" i="5"/>
  <c r="Z773" i="5"/>
  <c r="Z743" i="5"/>
  <c r="Z715" i="5"/>
  <c r="Z707" i="5"/>
  <c r="Z775" i="5"/>
  <c r="Z739" i="5"/>
  <c r="Z711" i="5"/>
  <c r="Z761" i="5"/>
  <c r="Z751" i="5"/>
  <c r="Z889" i="5"/>
  <c r="Z733" i="5"/>
  <c r="Z747" i="5"/>
  <c r="Z731" i="5"/>
  <c r="Z723" i="5"/>
  <c r="Z767" i="5"/>
  <c r="Z719" i="5"/>
  <c r="Z769" i="5"/>
  <c r="Z713" i="5"/>
  <c r="V613" i="5"/>
  <c r="V796" i="5"/>
  <c r="V617" i="5"/>
  <c r="U584" i="5"/>
  <c r="AB582" i="5"/>
  <c r="AB558" i="5"/>
  <c r="U538" i="5"/>
  <c r="U586" i="5"/>
  <c r="AB566" i="5"/>
  <c r="AB578" i="5"/>
  <c r="AB552" i="5"/>
  <c r="AB517" i="5"/>
  <c r="AB510" i="5" s="1"/>
  <c r="AB574" i="5"/>
  <c r="U564" i="5"/>
  <c r="U528" i="5"/>
  <c r="AB562" i="5"/>
  <c r="AB556" i="5"/>
  <c r="U566" i="5"/>
  <c r="AB548" i="5"/>
  <c r="U522" i="5"/>
  <c r="U542" i="5"/>
  <c r="AB590" i="5"/>
  <c r="AB568" i="5"/>
  <c r="U560" i="5"/>
  <c r="AB544" i="5"/>
  <c r="AB522" i="5"/>
  <c r="AB584" i="5"/>
  <c r="U554" i="5"/>
  <c r="AB580" i="5"/>
  <c r="AB550" i="5"/>
  <c r="AB572" i="5"/>
  <c r="V544" i="5"/>
  <c r="AB542" i="5"/>
  <c r="V542" i="5"/>
  <c r="AB492" i="5"/>
  <c r="AB488" i="5"/>
  <c r="AB430" i="5"/>
  <c r="AB480" i="5"/>
  <c r="AB425" i="5"/>
  <c r="U496" i="5"/>
  <c r="AB482" i="5"/>
  <c r="AB440" i="5"/>
  <c r="U492" i="5"/>
  <c r="U484" i="5"/>
  <c r="AB442" i="5"/>
  <c r="AB498" i="5"/>
  <c r="AB452" i="5"/>
  <c r="AB446" i="5"/>
  <c r="AB496" i="5"/>
  <c r="AB448" i="5"/>
  <c r="U440" i="5"/>
  <c r="AB494" i="5"/>
  <c r="AB486" i="5"/>
  <c r="U446" i="5"/>
  <c r="AB450" i="5"/>
  <c r="AA396" i="5"/>
  <c r="AA394" i="5"/>
  <c r="AA299" i="5"/>
  <c r="AA313" i="5"/>
  <c r="AA335" i="5"/>
  <c r="AA329" i="5"/>
  <c r="AA311" i="5"/>
  <c r="AA291" i="5"/>
  <c r="AA343" i="5"/>
  <c r="AA327" i="5"/>
  <c r="AA309" i="5"/>
  <c r="AA337" i="5"/>
  <c r="AA325" i="5"/>
  <c r="AA285" i="5"/>
  <c r="AA347" i="5"/>
  <c r="AA319" i="5"/>
  <c r="EE24" i="3"/>
  <c r="BS24" i="3"/>
  <c r="N15" i="3"/>
  <c r="CM14" i="3"/>
  <c r="V930" i="5"/>
  <c r="AD46" i="3"/>
  <c r="AG2" i="3"/>
  <c r="U458" i="5"/>
  <c r="U544" i="5"/>
  <c r="AB564" i="5"/>
  <c r="AA617" i="5"/>
  <c r="Z725" i="5"/>
  <c r="Z476" i="5"/>
  <c r="Z446" i="5"/>
  <c r="Z472" i="5"/>
  <c r="Z432" i="5"/>
  <c r="Z498" i="5"/>
  <c r="Z492" i="5"/>
  <c r="Z460" i="5"/>
  <c r="Z496" i="5"/>
  <c r="Z440" i="5"/>
  <c r="S90" i="5"/>
  <c r="S385" i="5"/>
  <c r="S398" i="5" s="1"/>
  <c r="M5" i="5"/>
  <c r="EQ16" i="3"/>
  <c r="CE16" i="3"/>
  <c r="AF16" i="3"/>
  <c r="EE15" i="3"/>
  <c r="BS15" i="3"/>
  <c r="U769" i="5"/>
  <c r="U709" i="5"/>
  <c r="U775" i="5"/>
  <c r="U725" i="5"/>
  <c r="U763" i="5"/>
  <c r="U723" i="5"/>
  <c r="U707" i="5"/>
  <c r="U767" i="5"/>
  <c r="U733" i="5"/>
  <c r="U743" i="5"/>
  <c r="U719" i="5"/>
  <c r="U745" i="5"/>
  <c r="V731" i="5"/>
  <c r="V733" i="5"/>
  <c r="AA649" i="5"/>
  <c r="AA613" i="5"/>
  <c r="AA679" i="5"/>
  <c r="AA675" i="5"/>
  <c r="AA669" i="5"/>
  <c r="AA657" i="5"/>
  <c r="AA645" i="5"/>
  <c r="AA641" i="5"/>
  <c r="AA681" i="5"/>
  <c r="AA625" i="5"/>
  <c r="AA643" i="5"/>
  <c r="AA633" i="5"/>
  <c r="Z578" i="5"/>
  <c r="Z522" i="5"/>
  <c r="Z564" i="5"/>
  <c r="Z554" i="5"/>
  <c r="Z560" i="5"/>
  <c r="Z538" i="5"/>
  <c r="Z584" i="5"/>
  <c r="Z528" i="5"/>
  <c r="Z542" i="5"/>
  <c r="Z586" i="5"/>
  <c r="AB460" i="5"/>
  <c r="AB490" i="5"/>
  <c r="AB554" i="5"/>
  <c r="W285" i="5"/>
  <c r="W331" i="5"/>
  <c r="W309" i="5"/>
  <c r="W329" i="5"/>
  <c r="W311" i="5"/>
  <c r="W353" i="5"/>
  <c r="W327" i="5"/>
  <c r="W307" i="5"/>
  <c r="W347" i="5"/>
  <c r="W299" i="5"/>
  <c r="AB285" i="5"/>
  <c r="W349" i="5"/>
  <c r="W291" i="5"/>
  <c r="Z236" i="5"/>
  <c r="Z230" i="5"/>
  <c r="Z214" i="5"/>
  <c r="Z252" i="5"/>
  <c r="Z212" i="5"/>
  <c r="Z258" i="5"/>
  <c r="Z198" i="5"/>
  <c r="Z244" i="5"/>
  <c r="Z232" i="5"/>
  <c r="Z228" i="5"/>
  <c r="AA131" i="5"/>
  <c r="AA113" i="5"/>
  <c r="AA149" i="5"/>
  <c r="AA99" i="5"/>
  <c r="AA107" i="5"/>
  <c r="CY24" i="3"/>
  <c r="W15" i="3"/>
  <c r="DS14" i="3"/>
  <c r="BG14" i="3"/>
  <c r="AA392" i="5"/>
  <c r="AB586" i="5"/>
  <c r="Z763" i="5"/>
  <c r="W408" i="5"/>
  <c r="AB401" i="5"/>
  <c r="AB406" i="5"/>
  <c r="AB390" i="5"/>
  <c r="AB385" i="5"/>
  <c r="V394" i="5"/>
  <c r="V396" i="5"/>
  <c r="U374" i="5"/>
  <c r="U376" i="5"/>
  <c r="U380" i="5"/>
  <c r="AB372" i="5"/>
  <c r="AB367" i="5"/>
  <c r="EA16" i="3"/>
  <c r="BO16" i="3"/>
  <c r="DC14" i="3"/>
  <c r="AQ14" i="3"/>
  <c r="W137" i="5"/>
  <c r="U234" i="5"/>
  <c r="Z333" i="5"/>
  <c r="Y353" i="5"/>
  <c r="Y432" i="5"/>
  <c r="AA448" i="5"/>
  <c r="Z462" i="5"/>
  <c r="Y472" i="5"/>
  <c r="Z572" i="5"/>
  <c r="U623" i="5"/>
  <c r="V737" i="5"/>
  <c r="AA753" i="5"/>
  <c r="Y759" i="5"/>
  <c r="V920" i="5"/>
  <c r="U952" i="5"/>
  <c r="U912" i="5"/>
  <c r="K250" i="5"/>
  <c r="N250" i="5" s="1"/>
  <c r="Y190" i="5"/>
  <c r="V430" i="5"/>
  <c r="AB470" i="5" s="1"/>
  <c r="U494" i="5"/>
  <c r="Y540" i="5"/>
  <c r="W757" i="5"/>
  <c r="J745" i="5"/>
  <c r="U222" i="5"/>
  <c r="T238" i="5"/>
  <c r="AA444" i="5"/>
  <c r="J218" i="5"/>
  <c r="X194" i="5"/>
  <c r="X208" i="5"/>
  <c r="Y224" i="5"/>
  <c r="X372" i="5"/>
  <c r="X390" i="5"/>
  <c r="W434" i="5"/>
  <c r="V1056" i="5"/>
  <c r="U902" i="5"/>
  <c r="U934" i="5"/>
  <c r="U924" i="5"/>
  <c r="U962" i="5"/>
  <c r="V1012" i="5"/>
  <c r="V65" i="5"/>
  <c r="AA111" i="5"/>
  <c r="J414" i="5"/>
  <c r="V258" i="5"/>
  <c r="J574" i="5"/>
  <c r="J759" i="5"/>
  <c r="U460" i="5"/>
  <c r="V1050" i="5"/>
  <c r="V1052" i="5"/>
  <c r="U938" i="5"/>
  <c r="U926" i="5"/>
  <c r="U968" i="5"/>
  <c r="V1018" i="5"/>
  <c r="W61" i="5"/>
  <c r="S73" i="5"/>
  <c r="U436" i="5"/>
  <c r="AA452" i="5"/>
  <c r="V1058" i="5"/>
  <c r="U914" i="5"/>
  <c r="U950" i="5"/>
  <c r="Z151" i="5"/>
  <c r="AA216" i="5"/>
  <c r="AA248" i="5"/>
  <c r="Z458" i="5"/>
  <c r="V673" i="5"/>
  <c r="K65" i="5"/>
  <c r="U65" i="5"/>
  <c r="L111" i="5"/>
  <c r="T65" i="5"/>
  <c r="T190" i="5"/>
  <c r="U480" i="5"/>
  <c r="W430" i="5"/>
  <c r="AA220" i="5"/>
  <c r="U220" i="5"/>
  <c r="W220" i="5"/>
  <c r="Y480" i="5"/>
  <c r="U252" i="5"/>
  <c r="W287" i="5"/>
  <c r="AA295" i="5"/>
  <c r="Z295" i="5"/>
  <c r="U303" i="5"/>
  <c r="X303" i="5"/>
  <c r="W319" i="5"/>
  <c r="Y337" i="5"/>
  <c r="U438" i="5"/>
  <c r="U468" i="5"/>
  <c r="W530" i="5"/>
  <c r="Z540" i="5"/>
  <c r="X580" i="5"/>
  <c r="Y580" i="5"/>
  <c r="X430" i="5"/>
  <c r="J236" i="5"/>
  <c r="J468" i="5"/>
  <c r="K494" i="5"/>
  <c r="N494" i="5" s="1"/>
  <c r="AA65" i="5"/>
  <c r="Z190" i="5"/>
  <c r="AA190" i="5"/>
  <c r="W480" i="5"/>
  <c r="Z145" i="5"/>
  <c r="V562" i="5"/>
  <c r="T236" i="5"/>
  <c r="X236" i="5"/>
  <c r="Z303" i="5"/>
  <c r="AA438" i="5"/>
  <c r="AA468" i="5"/>
  <c r="Y530" i="5"/>
  <c r="W540" i="5"/>
  <c r="AA540" i="5"/>
  <c r="K252" i="5"/>
  <c r="N252" i="5" s="1"/>
  <c r="J494" i="5"/>
  <c r="X65" i="5"/>
  <c r="Y204" i="5"/>
  <c r="V204" i="5"/>
  <c r="K190" i="5"/>
  <c r="N190" i="5" s="1"/>
  <c r="X190" i="5"/>
  <c r="J430" i="5"/>
  <c r="Z480" i="5"/>
  <c r="W252" i="5"/>
  <c r="U319" i="5"/>
  <c r="X337" i="5"/>
  <c r="V468" i="5"/>
  <c r="Y494" i="5"/>
  <c r="W580" i="5"/>
  <c r="J252" i="5"/>
  <c r="J303" i="5"/>
  <c r="K540" i="5"/>
  <c r="N540" i="5" s="1"/>
  <c r="U190" i="5"/>
  <c r="U430" i="5"/>
  <c r="X220" i="5"/>
  <c r="Y287" i="5"/>
  <c r="X295" i="5"/>
  <c r="AA303" i="5"/>
  <c r="W303" i="5"/>
  <c r="Y303" i="5"/>
  <c r="X319" i="5"/>
  <c r="W190" i="5"/>
  <c r="Z337" i="5"/>
  <c r="W468" i="5"/>
  <c r="U530" i="5"/>
  <c r="Z530" i="5"/>
  <c r="X540" i="5"/>
  <c r="Z580" i="5"/>
  <c r="V252" i="5"/>
  <c r="W65" i="5"/>
  <c r="T204" i="5"/>
  <c r="J190" i="5"/>
  <c r="J480" i="5"/>
  <c r="Y430" i="5"/>
  <c r="K430" i="5"/>
  <c r="N430" i="5" s="1"/>
  <c r="Z430" i="5"/>
  <c r="W562" i="5"/>
  <c r="V220" i="5"/>
  <c r="AA562" i="5"/>
  <c r="U236" i="5"/>
  <c r="W236" i="5"/>
  <c r="X252" i="5"/>
  <c r="V287" i="5"/>
  <c r="Y295" i="5"/>
  <c r="V295" i="5"/>
  <c r="Y319" i="5"/>
  <c r="U337" i="5"/>
  <c r="X438" i="5"/>
  <c r="Z468" i="5"/>
  <c r="W494" i="5"/>
  <c r="V530" i="5"/>
  <c r="U540" i="5"/>
  <c r="AA580" i="5"/>
  <c r="V540" i="5"/>
  <c r="K438" i="5"/>
  <c r="N438" i="5" s="1"/>
  <c r="J540" i="5"/>
  <c r="Z204" i="5"/>
  <c r="X204" i="5"/>
  <c r="Z65" i="5"/>
  <c r="X480" i="5"/>
  <c r="AA430" i="5"/>
  <c r="Z220" i="5"/>
  <c r="AA480" i="5"/>
  <c r="Y220" i="5"/>
  <c r="X562" i="5"/>
  <c r="U562" i="5"/>
  <c r="K562" i="5"/>
  <c r="N562" i="5" s="1"/>
  <c r="AA236" i="5"/>
  <c r="AA252" i="5"/>
  <c r="Y252" i="5"/>
  <c r="U287" i="5"/>
  <c r="V319" i="5"/>
  <c r="W337" i="5"/>
  <c r="X468" i="5"/>
  <c r="X494" i="5"/>
  <c r="Z494" i="5"/>
  <c r="X530" i="5"/>
  <c r="U580" i="5"/>
  <c r="K204" i="5"/>
  <c r="N204" i="5" s="1"/>
  <c r="K220" i="5"/>
  <c r="N220" i="5" s="1"/>
  <c r="J295" i="5"/>
  <c r="K468" i="5"/>
  <c r="N468" i="5" s="1"/>
  <c r="Q524" i="5"/>
  <c r="K580" i="5"/>
  <c r="N580" i="5" s="1"/>
  <c r="M65" i="5"/>
  <c r="J65" i="5"/>
  <c r="AA204" i="5"/>
  <c r="W204" i="5"/>
  <c r="L65" i="5"/>
  <c r="Z562" i="5"/>
  <c r="V161" i="5"/>
  <c r="Y562" i="5"/>
  <c r="T220" i="5"/>
  <c r="Y236" i="5"/>
  <c r="W295" i="5"/>
  <c r="AA287" i="5"/>
  <c r="U295" i="5"/>
  <c r="V303" i="5"/>
  <c r="Z319" i="5"/>
  <c r="V337" i="5"/>
  <c r="Y438" i="5"/>
  <c r="Z438" i="5"/>
  <c r="J287" i="5"/>
  <c r="N530" i="5"/>
  <c r="J109" i="5"/>
  <c r="Y143" i="5"/>
  <c r="AA572" i="5"/>
  <c r="U218" i="5"/>
  <c r="Y218" i="5"/>
  <c r="U572" i="5"/>
  <c r="J572" i="5"/>
  <c r="V234" i="5"/>
  <c r="Z234" i="5"/>
  <c r="W234" i="5"/>
  <c r="W250" i="5"/>
  <c r="Z250" i="5"/>
  <c r="U317" i="5"/>
  <c r="W317" i="5"/>
  <c r="Y333" i="5"/>
  <c r="W333" i="5"/>
  <c r="W345" i="5"/>
  <c r="V448" i="5"/>
  <c r="U448" i="5"/>
  <c r="Z448" i="5"/>
  <c r="AA462" i="5"/>
  <c r="X472" i="5"/>
  <c r="Y524" i="5"/>
  <c r="AA524" i="5"/>
  <c r="AA534" i="5"/>
  <c r="AA550" i="5"/>
  <c r="W574" i="5"/>
  <c r="Y623" i="5"/>
  <c r="Z631" i="5"/>
  <c r="U631" i="5"/>
  <c r="U711" i="5"/>
  <c r="X753" i="5"/>
  <c r="Y753" i="5"/>
  <c r="AA759" i="5"/>
  <c r="AA414" i="5"/>
  <c r="W414" i="5"/>
  <c r="J250" i="5"/>
  <c r="J333" i="5"/>
  <c r="V345" i="5"/>
  <c r="K432" i="5"/>
  <c r="N432" i="5" s="1"/>
  <c r="K462" i="5"/>
  <c r="N462" i="5" s="1"/>
  <c r="AA202" i="5"/>
  <c r="V202" i="5"/>
  <c r="AA234" i="5"/>
  <c r="X317" i="5"/>
  <c r="U345" i="5"/>
  <c r="X448" i="5"/>
  <c r="U432" i="5"/>
  <c r="X462" i="5"/>
  <c r="U472" i="5"/>
  <c r="V524" i="5"/>
  <c r="Y534" i="5"/>
  <c r="V550" i="5"/>
  <c r="Y550" i="5"/>
  <c r="W631" i="5"/>
  <c r="V631" i="5"/>
  <c r="V659" i="5"/>
  <c r="Z753" i="5"/>
  <c r="U737" i="5"/>
  <c r="K448" i="5"/>
  <c r="N448" i="5" s="1"/>
  <c r="J711" i="5"/>
  <c r="K759" i="5"/>
  <c r="N759" i="5" s="1"/>
  <c r="U202" i="5"/>
  <c r="W202" i="5"/>
  <c r="Y234" i="5"/>
  <c r="Z345" i="5"/>
  <c r="W432" i="5"/>
  <c r="W550" i="5"/>
  <c r="Y574" i="5"/>
  <c r="X631" i="5"/>
  <c r="Z745" i="5"/>
  <c r="V745" i="5"/>
  <c r="X759" i="5"/>
  <c r="Z414" i="5"/>
  <c r="V414" i="5"/>
  <c r="V218" i="5"/>
  <c r="K234" i="5"/>
  <c r="N234" i="5" s="1"/>
  <c r="M344" i="5"/>
  <c r="M345" i="5" s="1"/>
  <c r="J432" i="5"/>
  <c r="J462" i="5"/>
  <c r="K472" i="5"/>
  <c r="N472" i="5" s="1"/>
  <c r="K550" i="5"/>
  <c r="N550" i="5" s="1"/>
  <c r="Z218" i="5"/>
  <c r="X218" i="5"/>
  <c r="W572" i="5"/>
  <c r="T218" i="5"/>
  <c r="K572" i="5"/>
  <c r="N572" i="5" s="1"/>
  <c r="T234" i="5"/>
  <c r="X234" i="5"/>
  <c r="U250" i="5"/>
  <c r="X250" i="5"/>
  <c r="Z317" i="5"/>
  <c r="Y317" i="5"/>
  <c r="AA353" i="5"/>
  <c r="Y345" i="5"/>
  <c r="Z353" i="5"/>
  <c r="V462" i="5"/>
  <c r="W472" i="5"/>
  <c r="V472" i="5"/>
  <c r="W524" i="5"/>
  <c r="Z524" i="5"/>
  <c r="Z534" i="5"/>
  <c r="Z574" i="5"/>
  <c r="V623" i="5"/>
  <c r="U665" i="5"/>
  <c r="V665" i="5"/>
  <c r="AA659" i="5"/>
  <c r="Y711" i="5"/>
  <c r="X711" i="5"/>
  <c r="U753" i="5"/>
  <c r="J234" i="5"/>
  <c r="J317" i="5"/>
  <c r="J353" i="5"/>
  <c r="J448" i="5"/>
  <c r="J623" i="5"/>
  <c r="K711" i="5"/>
  <c r="N711" i="5" s="1"/>
  <c r="K737" i="5"/>
  <c r="N737" i="5" s="1"/>
  <c r="K753" i="5"/>
  <c r="N753" i="5" s="1"/>
  <c r="K960" i="5"/>
  <c r="N960" i="5" s="1"/>
  <c r="Z202" i="5"/>
  <c r="W218" i="5"/>
  <c r="AA333" i="5"/>
  <c r="X345" i="5"/>
  <c r="W448" i="5"/>
  <c r="Y448" i="5"/>
  <c r="AA432" i="5"/>
  <c r="U462" i="5"/>
  <c r="U524" i="5"/>
  <c r="U534" i="5"/>
  <c r="U574" i="5"/>
  <c r="X574" i="5"/>
  <c r="X623" i="5"/>
  <c r="W623" i="5"/>
  <c r="W659" i="5"/>
  <c r="AA665" i="5"/>
  <c r="Z659" i="5"/>
  <c r="AA737" i="5"/>
  <c r="Z737" i="5"/>
  <c r="X737" i="5"/>
  <c r="Y414" i="5"/>
  <c r="U414" i="5"/>
  <c r="K202" i="5"/>
  <c r="N202" i="5" s="1"/>
  <c r="M300" i="5"/>
  <c r="M301" i="5" s="1"/>
  <c r="J345" i="5"/>
  <c r="K414" i="5"/>
  <c r="N414" i="5" s="1"/>
  <c r="J472" i="5"/>
  <c r="K524" i="5"/>
  <c r="N524" i="5" s="1"/>
  <c r="J550" i="5"/>
  <c r="J737" i="5"/>
  <c r="T202" i="5"/>
  <c r="Y202" i="5"/>
  <c r="X202" i="5"/>
  <c r="V572" i="5"/>
  <c r="T250" i="5"/>
  <c r="AA317" i="5"/>
  <c r="U333" i="5"/>
  <c r="AA345" i="5"/>
  <c r="X353" i="5"/>
  <c r="W462" i="5"/>
  <c r="AA472" i="5"/>
  <c r="U550" i="5"/>
  <c r="X550" i="5"/>
  <c r="Z550" i="5"/>
  <c r="Z623" i="5"/>
  <c r="AA623" i="5"/>
  <c r="W665" i="5"/>
  <c r="Y659" i="5"/>
  <c r="Z665" i="5"/>
  <c r="Z759" i="5"/>
  <c r="V250" i="5"/>
  <c r="K534" i="5"/>
  <c r="N534" i="5" s="1"/>
  <c r="J631" i="5"/>
  <c r="J753" i="5"/>
  <c r="Q817" i="5"/>
  <c r="AA218" i="5"/>
  <c r="Y462" i="5"/>
  <c r="X524" i="5"/>
  <c r="W534" i="5"/>
  <c r="V534" i="5"/>
  <c r="Y631" i="5"/>
  <c r="AA631" i="5"/>
  <c r="X659" i="5"/>
  <c r="Y665" i="5"/>
  <c r="Y745" i="5"/>
  <c r="X414" i="5"/>
  <c r="K574" i="5"/>
  <c r="N574" i="5" s="1"/>
  <c r="S63" i="5"/>
  <c r="Z111" i="5"/>
  <c r="L59" i="5"/>
  <c r="V59" i="5"/>
  <c r="K63" i="5"/>
  <c r="K75" i="5"/>
  <c r="L75" i="5"/>
  <c r="K161" i="5"/>
  <c r="N161" i="5" s="1"/>
  <c r="Y161" i="5"/>
  <c r="U129" i="5"/>
  <c r="AA59" i="5"/>
  <c r="J111" i="5"/>
  <c r="T63" i="5"/>
  <c r="Y75" i="5"/>
  <c r="V75" i="5"/>
  <c r="AB105" i="5" s="1"/>
  <c r="X145" i="5"/>
  <c r="X129" i="5"/>
  <c r="L97" i="5"/>
  <c r="V129" i="5"/>
  <c r="AB167" i="5" s="1"/>
  <c r="J145" i="5"/>
  <c r="U161" i="5"/>
  <c r="J161" i="5"/>
  <c r="L129" i="5"/>
  <c r="N129" i="5" s="1"/>
  <c r="J97" i="5"/>
  <c r="V111" i="5"/>
  <c r="AB149" i="5" s="1"/>
  <c r="T75" i="5"/>
  <c r="X63" i="5"/>
  <c r="M63" i="5"/>
  <c r="X97" i="5"/>
  <c r="X161" i="5"/>
  <c r="V145" i="5"/>
  <c r="K97" i="5"/>
  <c r="AA129" i="5"/>
  <c r="U145" i="5"/>
  <c r="U97" i="5"/>
  <c r="Y129" i="5"/>
  <c r="Z97" i="5"/>
  <c r="L300" i="5"/>
  <c r="L301" i="5" s="1"/>
  <c r="M59" i="5"/>
  <c r="X111" i="5"/>
  <c r="W63" i="5"/>
  <c r="X75" i="5"/>
  <c r="U75" i="5"/>
  <c r="Y111" i="5"/>
  <c r="W372" i="5"/>
  <c r="W97" i="5"/>
  <c r="W129" i="5"/>
  <c r="AA145" i="5"/>
  <c r="K194" i="5"/>
  <c r="N194" i="5" s="1"/>
  <c r="AA75" i="5"/>
  <c r="Z75" i="5"/>
  <c r="AA63" i="5"/>
  <c r="V97" i="5"/>
  <c r="AB137" i="5" s="1"/>
  <c r="J129" i="5"/>
  <c r="Y145" i="5"/>
  <c r="AA161" i="5"/>
  <c r="J194" i="5"/>
  <c r="X59" i="5"/>
  <c r="K111" i="5"/>
  <c r="S59" i="5"/>
  <c r="U111" i="5"/>
  <c r="J75" i="5"/>
  <c r="U63" i="5"/>
  <c r="W59" i="5"/>
  <c r="Z129" i="5"/>
  <c r="AA97" i="5"/>
  <c r="Z161" i="5"/>
  <c r="L145" i="5"/>
  <c r="U59" i="5"/>
  <c r="J63" i="5"/>
  <c r="W111" i="5"/>
  <c r="T59" i="5"/>
  <c r="J59" i="5"/>
  <c r="W75" i="5"/>
  <c r="Y97" i="5"/>
  <c r="K119" i="5"/>
  <c r="Z119" i="5"/>
  <c r="U119" i="5"/>
  <c r="X119" i="5"/>
  <c r="W119" i="5"/>
  <c r="W192" i="5"/>
  <c r="AA192" i="5"/>
  <c r="J192" i="5"/>
  <c r="T192" i="5"/>
  <c r="V192" i="5"/>
  <c r="Z192" i="5"/>
  <c r="Y192" i="5"/>
  <c r="U192" i="5"/>
  <c r="J254" i="5"/>
  <c r="V254" i="5"/>
  <c r="W254" i="5"/>
  <c r="U254" i="5"/>
  <c r="Y254" i="5"/>
  <c r="Z254" i="5"/>
  <c r="X254" i="5"/>
  <c r="T254" i="5"/>
  <c r="M352" i="5"/>
  <c r="M353" i="5" s="1"/>
  <c r="K352" i="5"/>
  <c r="K353" i="5" s="1"/>
  <c r="J486" i="5"/>
  <c r="Y486" i="5"/>
  <c r="X486" i="5"/>
  <c r="AA486" i="5"/>
  <c r="W486" i="5"/>
  <c r="Y663" i="5"/>
  <c r="V663" i="5"/>
  <c r="AA663" i="5"/>
  <c r="W663" i="5"/>
  <c r="U663" i="5"/>
  <c r="Z663" i="5"/>
  <c r="X663" i="5"/>
  <c r="J803" i="5"/>
  <c r="U803" i="5"/>
  <c r="U823" i="5"/>
  <c r="V823" i="5"/>
  <c r="J823" i="5"/>
  <c r="K823" i="5"/>
  <c r="N823" i="5" s="1"/>
  <c r="AA103" i="5"/>
  <c r="W103" i="5"/>
  <c r="U103" i="5"/>
  <c r="J103" i="5"/>
  <c r="Z103" i="5"/>
  <c r="Y103" i="5"/>
  <c r="Z749" i="5"/>
  <c r="X819" i="5"/>
  <c r="K819" i="5"/>
  <c r="N819" i="5" s="1"/>
  <c r="K918" i="5"/>
  <c r="V918" i="5"/>
  <c r="U918" i="5"/>
  <c r="J918" i="5"/>
  <c r="J946" i="5"/>
  <c r="U946" i="5"/>
  <c r="K946" i="5"/>
  <c r="N946" i="5" s="1"/>
  <c r="U121" i="5"/>
  <c r="Y121" i="5"/>
  <c r="W238" i="5"/>
  <c r="AA119" i="5"/>
  <c r="K254" i="5"/>
  <c r="N254" i="5" s="1"/>
  <c r="K464" i="5"/>
  <c r="N464" i="5" s="1"/>
  <c r="J671" i="5"/>
  <c r="J321" i="5"/>
  <c r="V321" i="5"/>
  <c r="AA321" i="5"/>
  <c r="Y321" i="5"/>
  <c r="W321" i="5"/>
  <c r="U321" i="5"/>
  <c r="Z321" i="5"/>
  <c r="X321" i="5"/>
  <c r="W619" i="5"/>
  <c r="AA619" i="5"/>
  <c r="X619" i="5"/>
  <c r="U619" i="5"/>
  <c r="Z619" i="5"/>
  <c r="Y619" i="5"/>
  <c r="V619" i="5"/>
  <c r="V637" i="5"/>
  <c r="X637" i="5"/>
  <c r="AA637" i="5"/>
  <c r="J637" i="5"/>
  <c r="Y637" i="5"/>
  <c r="W637" i="5"/>
  <c r="Z637" i="5"/>
  <c r="U637" i="5"/>
  <c r="I665" i="5"/>
  <c r="J833" i="5"/>
  <c r="K833" i="5"/>
  <c r="N833" i="5" s="1"/>
  <c r="U833" i="5"/>
  <c r="V833" i="5"/>
  <c r="J849" i="5"/>
  <c r="U849" i="5"/>
  <c r="K932" i="5"/>
  <c r="N932" i="5" s="1"/>
  <c r="J932" i="5"/>
  <c r="V932" i="5"/>
  <c r="U932" i="5"/>
  <c r="V238" i="5"/>
  <c r="K137" i="5"/>
  <c r="Y137" i="5"/>
  <c r="U137" i="5"/>
  <c r="X137" i="5"/>
  <c r="V137" i="5"/>
  <c r="L137" i="5"/>
  <c r="J137" i="5"/>
  <c r="J434" i="5"/>
  <c r="K434" i="5"/>
  <c r="Z434" i="5"/>
  <c r="AA434" i="5"/>
  <c r="U434" i="5"/>
  <c r="X434" i="5"/>
  <c r="V434" i="5"/>
  <c r="Y450" i="5"/>
  <c r="AA450" i="5"/>
  <c r="Z450" i="5"/>
  <c r="W450" i="5"/>
  <c r="J450" i="5"/>
  <c r="AA526" i="5"/>
  <c r="Y526" i="5"/>
  <c r="U526" i="5"/>
  <c r="X526" i="5"/>
  <c r="V526" i="5"/>
  <c r="J526" i="5"/>
  <c r="Z526" i="5"/>
  <c r="K576" i="5"/>
  <c r="N576" i="5" s="1"/>
  <c r="AA576" i="5"/>
  <c r="Z576" i="5"/>
  <c r="Y576" i="5"/>
  <c r="X576" i="5"/>
  <c r="U576" i="5"/>
  <c r="W576" i="5"/>
  <c r="I627" i="5"/>
  <c r="J655" i="5"/>
  <c r="V655" i="5"/>
  <c r="W655" i="5"/>
  <c r="U655" i="5"/>
  <c r="AA655" i="5"/>
  <c r="Z655" i="5"/>
  <c r="Y655" i="5"/>
  <c r="I677" i="5"/>
  <c r="W208" i="5"/>
  <c r="T208" i="5"/>
  <c r="Y208" i="5"/>
  <c r="X192" i="5"/>
  <c r="L119" i="5"/>
  <c r="V119" i="5"/>
  <c r="AB157" i="5" s="1"/>
  <c r="V946" i="5"/>
  <c r="K558" i="5"/>
  <c r="J663" i="5"/>
  <c r="J729" i="5"/>
  <c r="W135" i="5"/>
  <c r="U135" i="5"/>
  <c r="V135" i="5"/>
  <c r="AB173" i="5" s="1"/>
  <c r="AA135" i="5"/>
  <c r="L135" i="5"/>
  <c r="X135" i="5"/>
  <c r="Y135" i="5"/>
  <c r="J222" i="5"/>
  <c r="AA222" i="5"/>
  <c r="Z222" i="5"/>
  <c r="K222" i="5"/>
  <c r="N222" i="5" s="1"/>
  <c r="T222" i="5"/>
  <c r="Y222" i="5"/>
  <c r="AA339" i="5"/>
  <c r="J339" i="5"/>
  <c r="W339" i="5"/>
  <c r="U339" i="5"/>
  <c r="Z339" i="5"/>
  <c r="Y339" i="5"/>
  <c r="X339" i="5"/>
  <c r="K336" i="5"/>
  <c r="K337" i="5" s="1"/>
  <c r="M336" i="5"/>
  <c r="M337" i="5" s="1"/>
  <c r="K470" i="5"/>
  <c r="N470" i="5" s="1"/>
  <c r="AA470" i="5"/>
  <c r="J470" i="5"/>
  <c r="Y470" i="5"/>
  <c r="Z470" i="5"/>
  <c r="U470" i="5"/>
  <c r="V470" i="5"/>
  <c r="J568" i="5"/>
  <c r="X568" i="5"/>
  <c r="V568" i="5"/>
  <c r="AA568" i="5"/>
  <c r="Z568" i="5"/>
  <c r="U568" i="5"/>
  <c r="Y568" i="5"/>
  <c r="W568" i="5"/>
  <c r="I659" i="5"/>
  <c r="J677" i="5"/>
  <c r="AA677" i="5"/>
  <c r="Z677" i="5"/>
  <c r="Y677" i="5"/>
  <c r="X677" i="5"/>
  <c r="V677" i="5"/>
  <c r="W677" i="5"/>
  <c r="U677" i="5"/>
  <c r="Y721" i="5"/>
  <c r="Z721" i="5"/>
  <c r="X721" i="5"/>
  <c r="U721" i="5"/>
  <c r="K721" i="5"/>
  <c r="N721" i="5" s="1"/>
  <c r="V721" i="5"/>
  <c r="AA721" i="5"/>
  <c r="J771" i="5"/>
  <c r="Y771" i="5"/>
  <c r="X771" i="5"/>
  <c r="U771" i="5"/>
  <c r="AA771" i="5"/>
  <c r="Z771" i="5"/>
  <c r="J813" i="5"/>
  <c r="V813" i="5"/>
  <c r="W289" i="5"/>
  <c r="K474" i="5"/>
  <c r="N474" i="5" s="1"/>
  <c r="V474" i="5"/>
  <c r="Z474" i="5"/>
  <c r="U474" i="5"/>
  <c r="AA474" i="5"/>
  <c r="W474" i="5"/>
  <c r="Y474" i="5"/>
  <c r="X474" i="5"/>
  <c r="J474" i="5"/>
  <c r="J556" i="5"/>
  <c r="Y556" i="5"/>
  <c r="K556" i="5"/>
  <c r="N556" i="5" s="1"/>
  <c r="Z556" i="5"/>
  <c r="X556" i="5"/>
  <c r="AA556" i="5"/>
  <c r="U556" i="5"/>
  <c r="W556" i="5"/>
  <c r="V556" i="5"/>
  <c r="V839" i="5"/>
  <c r="K839" i="5"/>
  <c r="N839" i="5" s="1"/>
  <c r="J839" i="5"/>
  <c r="J942" i="5"/>
  <c r="V942" i="5"/>
  <c r="U942" i="5"/>
  <c r="K942" i="5"/>
  <c r="N942" i="5" s="1"/>
  <c r="L153" i="5"/>
  <c r="N153" i="5" s="1"/>
  <c r="X450" i="5"/>
  <c r="V194" i="5"/>
  <c r="Y119" i="5"/>
  <c r="Y434" i="5"/>
  <c r="K206" i="5"/>
  <c r="N206" i="5" s="1"/>
  <c r="T206" i="5"/>
  <c r="W206" i="5"/>
  <c r="AA206" i="5"/>
  <c r="X206" i="5"/>
  <c r="U206" i="5"/>
  <c r="J206" i="5"/>
  <c r="Y206" i="5"/>
  <c r="Z206" i="5"/>
  <c r="J546" i="5"/>
  <c r="Y546" i="5"/>
  <c r="U546" i="5"/>
  <c r="AA546" i="5"/>
  <c r="W546" i="5"/>
  <c r="V546" i="5"/>
  <c r="Z546" i="5"/>
  <c r="X546" i="5"/>
  <c r="U627" i="5"/>
  <c r="AA627" i="5"/>
  <c r="Z627" i="5"/>
  <c r="Y627" i="5"/>
  <c r="W627" i="5"/>
  <c r="X627" i="5"/>
  <c r="V627" i="5"/>
  <c r="Z765" i="5"/>
  <c r="J765" i="5"/>
  <c r="Y765" i="5"/>
  <c r="V765" i="5"/>
  <c r="X765" i="5"/>
  <c r="K765" i="5"/>
  <c r="N765" i="5" s="1"/>
  <c r="U765" i="5"/>
  <c r="AA765" i="5"/>
  <c r="W1004" i="5"/>
  <c r="J1004" i="5"/>
  <c r="V1004" i="5"/>
  <c r="K1004" i="5"/>
  <c r="N1004" i="5" s="1"/>
  <c r="U1004" i="5"/>
  <c r="V121" i="5"/>
  <c r="AB159" i="5" s="1"/>
  <c r="W121" i="5"/>
  <c r="L121" i="5"/>
  <c r="X121" i="5"/>
  <c r="K208" i="5"/>
  <c r="N208" i="5" s="1"/>
  <c r="U208" i="5"/>
  <c r="AA208" i="5"/>
  <c r="V208" i="5"/>
  <c r="J390" i="5"/>
  <c r="K390" i="5"/>
  <c r="L390" i="5"/>
  <c r="Z390" i="5"/>
  <c r="AA390" i="5"/>
  <c r="U390" i="5"/>
  <c r="V390" i="5"/>
  <c r="Y390" i="5"/>
  <c r="J552" i="5"/>
  <c r="Z552" i="5"/>
  <c r="Y552" i="5"/>
  <c r="V552" i="5"/>
  <c r="K552" i="5"/>
  <c r="N552" i="5" s="1"/>
  <c r="X552" i="5"/>
  <c r="U552" i="5"/>
  <c r="W552" i="5"/>
  <c r="AA552" i="5"/>
  <c r="J651" i="5"/>
  <c r="AA651" i="5"/>
  <c r="Y651" i="5"/>
  <c r="U651" i="5"/>
  <c r="X651" i="5"/>
  <c r="Z651" i="5"/>
  <c r="W651" i="5"/>
  <c r="V651" i="5"/>
  <c r="I663" i="5"/>
  <c r="U801" i="5"/>
  <c r="V954" i="5"/>
  <c r="J954" i="5"/>
  <c r="K954" i="5"/>
  <c r="N954" i="5" s="1"/>
  <c r="U954" i="5"/>
  <c r="Y153" i="5"/>
  <c r="J135" i="5"/>
  <c r="V339" i="5"/>
  <c r="K192" i="5"/>
  <c r="N192" i="5" s="1"/>
  <c r="J208" i="5"/>
  <c r="J151" i="5"/>
  <c r="V151" i="5"/>
  <c r="U151" i="5"/>
  <c r="Y151" i="5"/>
  <c r="AA151" i="5"/>
  <c r="L151" i="5"/>
  <c r="X151" i="5"/>
  <c r="J238" i="5"/>
  <c r="K238" i="5"/>
  <c r="N238" i="5" s="1"/>
  <c r="U238" i="5"/>
  <c r="AA238" i="5"/>
  <c r="Y238" i="5"/>
  <c r="X238" i="5"/>
  <c r="K304" i="5"/>
  <c r="K305" i="5" s="1"/>
  <c r="AA588" i="5"/>
  <c r="Y588" i="5"/>
  <c r="W588" i="5"/>
  <c r="X588" i="5"/>
  <c r="Z588" i="5"/>
  <c r="U588" i="5"/>
  <c r="U898" i="5"/>
  <c r="J898" i="5"/>
  <c r="K898" i="5"/>
  <c r="N898" i="5" s="1"/>
  <c r="J936" i="5"/>
  <c r="V936" i="5"/>
  <c r="U936" i="5"/>
  <c r="K1026" i="5"/>
  <c r="N1026" i="5" s="1"/>
  <c r="V1026" i="5"/>
  <c r="U1026" i="5"/>
  <c r="K1032" i="5"/>
  <c r="N1032" i="5" s="1"/>
  <c r="W1032" i="5"/>
  <c r="U1032" i="5"/>
  <c r="V1032" i="5"/>
  <c r="J1032" i="5"/>
  <c r="X222" i="5"/>
  <c r="K151" i="5"/>
  <c r="J454" i="5"/>
  <c r="X454" i="5"/>
  <c r="K454" i="5"/>
  <c r="N454" i="5" s="1"/>
  <c r="U454" i="5"/>
  <c r="W454" i="5"/>
  <c r="Y454" i="5"/>
  <c r="AA454" i="5"/>
  <c r="W464" i="5"/>
  <c r="Y464" i="5"/>
  <c r="X464" i="5"/>
  <c r="U464" i="5"/>
  <c r="J464" i="5"/>
  <c r="Z464" i="5"/>
  <c r="AA464" i="5"/>
  <c r="I637" i="5"/>
  <c r="J855" i="5"/>
  <c r="K855" i="5"/>
  <c r="N855" i="5" s="1"/>
  <c r="V855" i="5"/>
  <c r="U855" i="5"/>
  <c r="V908" i="5"/>
  <c r="U908" i="5"/>
  <c r="AA121" i="5"/>
  <c r="K121" i="5"/>
  <c r="W470" i="5"/>
  <c r="K450" i="5"/>
  <c r="N450" i="5" s="1"/>
  <c r="V450" i="5"/>
  <c r="U450" i="5"/>
  <c r="Z238" i="5"/>
  <c r="AA254" i="5"/>
  <c r="Z135" i="5"/>
  <c r="J119" i="5"/>
  <c r="W390" i="5"/>
  <c r="Z486" i="5"/>
  <c r="W526" i="5"/>
  <c r="U839" i="5"/>
  <c r="N526" i="5"/>
  <c r="J444" i="5"/>
  <c r="K444" i="5"/>
  <c r="N444" i="5" s="1"/>
  <c r="Z444" i="5"/>
  <c r="Y444" i="5"/>
  <c r="U444" i="5"/>
  <c r="X444" i="5"/>
  <c r="V444" i="5"/>
  <c r="W444" i="5"/>
  <c r="W671" i="5"/>
  <c r="Y671" i="5"/>
  <c r="Z671" i="5"/>
  <c r="V671" i="5"/>
  <c r="AA671" i="5"/>
  <c r="U671" i="5"/>
  <c r="X671" i="5"/>
  <c r="Z729" i="5"/>
  <c r="Y729" i="5"/>
  <c r="V729" i="5"/>
  <c r="X729" i="5"/>
  <c r="U729" i="5"/>
  <c r="AA729" i="5"/>
  <c r="K729" i="5"/>
  <c r="N729" i="5" s="1"/>
  <c r="Z757" i="5"/>
  <c r="Y757" i="5"/>
  <c r="J757" i="5"/>
  <c r="X757" i="5"/>
  <c r="V757" i="5"/>
  <c r="AA757" i="5"/>
  <c r="K757" i="5"/>
  <c r="N757" i="5" s="1"/>
  <c r="U757" i="5"/>
  <c r="V960" i="5"/>
  <c r="J960" i="5"/>
  <c r="J153" i="5"/>
  <c r="Z153" i="5"/>
  <c r="AA153" i="5"/>
  <c r="V153" i="5"/>
  <c r="U153" i="5"/>
  <c r="Z194" i="5"/>
  <c r="T194" i="5"/>
  <c r="W194" i="5"/>
  <c r="U194" i="5"/>
  <c r="AA194" i="5"/>
  <c r="Y194" i="5"/>
  <c r="K372" i="5"/>
  <c r="N372" i="5" s="1"/>
  <c r="U372" i="5"/>
  <c r="V372" i="5"/>
  <c r="S372" i="5"/>
  <c r="T372" i="5"/>
  <c r="J372" i="5"/>
  <c r="AA372" i="5"/>
  <c r="Y372" i="5"/>
  <c r="Z372" i="5"/>
  <c r="J536" i="5"/>
  <c r="AA536" i="5"/>
  <c r="Y536" i="5"/>
  <c r="K536" i="5"/>
  <c r="N536" i="5" s="1"/>
  <c r="U536" i="5"/>
  <c r="V536" i="5"/>
  <c r="X536" i="5"/>
  <c r="Z536" i="5"/>
  <c r="W536" i="5"/>
  <c r="J558" i="5"/>
  <c r="AA558" i="5"/>
  <c r="Y558" i="5"/>
  <c r="Z558" i="5"/>
  <c r="X558" i="5"/>
  <c r="W558" i="5"/>
  <c r="V558" i="5"/>
  <c r="U558" i="5"/>
  <c r="I619" i="5"/>
  <c r="X647" i="5"/>
  <c r="Y647" i="5"/>
  <c r="W647" i="5"/>
  <c r="V647" i="5"/>
  <c r="J647" i="5"/>
  <c r="AA647" i="5"/>
  <c r="U647" i="5"/>
  <c r="Z647" i="5"/>
  <c r="I671" i="5"/>
  <c r="V970" i="5"/>
  <c r="U970" i="5"/>
  <c r="J970" i="5"/>
  <c r="K970" i="5"/>
  <c r="N970" i="5" s="1"/>
  <c r="U990" i="5"/>
  <c r="K990" i="5"/>
  <c r="N990" i="5" s="1"/>
  <c r="W990" i="5"/>
  <c r="J990" i="5"/>
  <c r="U1014" i="5"/>
  <c r="W1014" i="5"/>
  <c r="Z137" i="5"/>
  <c r="Z208" i="5"/>
  <c r="X470" i="5"/>
  <c r="L103" i="5"/>
  <c r="N103" i="5" s="1"/>
  <c r="K135" i="5"/>
  <c r="Z454" i="5"/>
  <c r="U486" i="5"/>
  <c r="X655" i="5"/>
  <c r="U813" i="5"/>
  <c r="U960" i="5"/>
  <c r="J721" i="5"/>
  <c r="K329" i="5"/>
  <c r="L328" i="5"/>
  <c r="L329" i="5" s="1"/>
  <c r="J242" i="5"/>
  <c r="J307" i="5"/>
  <c r="L392" i="5"/>
  <c r="K392" i="5"/>
  <c r="J406" i="5"/>
  <c r="K406" i="5"/>
  <c r="Y456" i="5"/>
  <c r="Z456" i="5"/>
  <c r="X456" i="5"/>
  <c r="J456" i="5"/>
  <c r="U456" i="5"/>
  <c r="W456" i="5"/>
  <c r="J482" i="5"/>
  <c r="X482" i="5"/>
  <c r="X496" i="5"/>
  <c r="J496" i="5"/>
  <c r="W496" i="5"/>
  <c r="K496" i="5"/>
  <c r="N496" i="5" s="1"/>
  <c r="Y496" i="5"/>
  <c r="J564" i="5"/>
  <c r="AA564" i="5"/>
  <c r="V564" i="5"/>
  <c r="W564" i="5"/>
  <c r="Y584" i="5"/>
  <c r="J584" i="5"/>
  <c r="K584" i="5"/>
  <c r="N584" i="5" s="1"/>
  <c r="V615" i="5"/>
  <c r="X615" i="5"/>
  <c r="U615" i="5"/>
  <c r="J615" i="5"/>
  <c r="AA615" i="5"/>
  <c r="I651" i="5"/>
  <c r="J653" i="5"/>
  <c r="Y653" i="5"/>
  <c r="I655" i="5"/>
  <c r="AA661" i="5"/>
  <c r="V661" i="5"/>
  <c r="X661" i="5"/>
  <c r="Z661" i="5"/>
  <c r="W661" i="5"/>
  <c r="U661" i="5"/>
  <c r="J661" i="5"/>
  <c r="Y661" i="5"/>
  <c r="J667" i="5"/>
  <c r="U667" i="5"/>
  <c r="V667" i="5"/>
  <c r="AA667" i="5"/>
  <c r="Z667" i="5"/>
  <c r="Y667" i="5"/>
  <c r="X667" i="5"/>
  <c r="J713" i="5"/>
  <c r="U713" i="5"/>
  <c r="AA713" i="5"/>
  <c r="X713" i="5"/>
  <c r="Y713" i="5"/>
  <c r="J755" i="5"/>
  <c r="Z755" i="5"/>
  <c r="X755" i="5"/>
  <c r="U755" i="5"/>
  <c r="K755" i="5"/>
  <c r="AA755" i="5"/>
  <c r="J761" i="5"/>
  <c r="AA761" i="5"/>
  <c r="U761" i="5"/>
  <c r="V761" i="5"/>
  <c r="J829" i="5"/>
  <c r="V829" i="5"/>
  <c r="J845" i="5"/>
  <c r="V845" i="5"/>
  <c r="U845" i="5"/>
  <c r="V861" i="5"/>
  <c r="U861" i="5"/>
  <c r="J861" i="5"/>
  <c r="K861" i="5"/>
  <c r="N861" i="5" s="1"/>
  <c r="J928" i="5"/>
  <c r="K928" i="5"/>
  <c r="N928" i="5" s="1"/>
  <c r="V928" i="5"/>
  <c r="U928" i="5"/>
  <c r="J952" i="5"/>
  <c r="K952" i="5"/>
  <c r="N952" i="5" s="1"/>
  <c r="K956" i="5"/>
  <c r="N956" i="5" s="1"/>
  <c r="U956" i="5"/>
  <c r="J1022" i="5"/>
  <c r="V1022" i="5"/>
  <c r="AA226" i="5"/>
  <c r="Y226" i="5"/>
  <c r="X226" i="5"/>
  <c r="W226" i="5"/>
  <c r="V242" i="5"/>
  <c r="T242" i="5"/>
  <c r="U258" i="5"/>
  <c r="U307" i="5"/>
  <c r="Y307" i="5"/>
  <c r="U325" i="5"/>
  <c r="Y325" i="5"/>
  <c r="W374" i="5"/>
  <c r="T374" i="5"/>
  <c r="V392" i="5"/>
  <c r="Q819" i="5"/>
  <c r="K829" i="5"/>
  <c r="N829" i="5" s="1"/>
  <c r="Z139" i="5"/>
  <c r="T226" i="5"/>
  <c r="Z242" i="5"/>
  <c r="Z392" i="5"/>
  <c r="AA406" i="5"/>
  <c r="L406" i="5"/>
  <c r="K761" i="5"/>
  <c r="N761" i="5" s="1"/>
  <c r="K313" i="5"/>
  <c r="L312" i="5"/>
  <c r="L313" i="5" s="1"/>
  <c r="J392" i="5"/>
  <c r="K713" i="5"/>
  <c r="N713" i="5" s="1"/>
  <c r="Y258" i="5"/>
  <c r="AA307" i="5"/>
  <c r="X325" i="5"/>
  <c r="U343" i="5"/>
  <c r="W335" i="5"/>
  <c r="Z335" i="5"/>
  <c r="Z374" i="5"/>
  <c r="K258" i="5"/>
  <c r="N258" i="5" s="1"/>
  <c r="L344" i="5"/>
  <c r="L345" i="5" s="1"/>
  <c r="U73" i="5"/>
  <c r="J73" i="5"/>
  <c r="AA73" i="5"/>
  <c r="K61" i="5"/>
  <c r="V73" i="5"/>
  <c r="K47" i="5"/>
  <c r="AA47" i="5"/>
  <c r="U105" i="5"/>
  <c r="V105" i="5"/>
  <c r="W139" i="5"/>
  <c r="V123" i="5"/>
  <c r="AB161" i="5" s="1"/>
  <c r="W200" i="5"/>
  <c r="AA460" i="5"/>
  <c r="AA139" i="5"/>
  <c r="U216" i="5"/>
  <c r="V232" i="5"/>
  <c r="Y248" i="5"/>
  <c r="Z313" i="5"/>
  <c r="U351" i="5"/>
  <c r="X398" i="5"/>
  <c r="U410" i="5"/>
  <c r="AA410" i="5"/>
  <c r="V436" i="5"/>
  <c r="Z436" i="5"/>
  <c r="AA436" i="5"/>
  <c r="V452" i="5"/>
  <c r="K248" i="5"/>
  <c r="N248" i="5" s="1"/>
  <c r="J301" i="5"/>
  <c r="K410" i="5"/>
  <c r="N410" i="5" s="1"/>
  <c r="K452" i="5"/>
  <c r="N452" i="5" s="1"/>
  <c r="M73" i="5"/>
  <c r="Z73" i="5"/>
  <c r="V47" i="5"/>
  <c r="L105" i="5"/>
  <c r="N105" i="5" s="1"/>
  <c r="Y105" i="5"/>
  <c r="K155" i="5"/>
  <c r="L123" i="5"/>
  <c r="K123" i="5"/>
  <c r="X216" i="5"/>
  <c r="W460" i="5"/>
  <c r="Y460" i="5"/>
  <c r="W232" i="5"/>
  <c r="T248" i="5"/>
  <c r="V293" i="5"/>
  <c r="W293" i="5"/>
  <c r="AA301" i="5"/>
  <c r="X301" i="5"/>
  <c r="Y301" i="5"/>
  <c r="U331" i="5"/>
  <c r="X351" i="5"/>
  <c r="Y398" i="5"/>
  <c r="Z452" i="5"/>
  <c r="Y482" i="5"/>
  <c r="V200" i="5"/>
  <c r="J248" i="5"/>
  <c r="J293" i="5"/>
  <c r="J313" i="5"/>
  <c r="J410" i="5"/>
  <c r="J436" i="5"/>
  <c r="Z61" i="5"/>
  <c r="AA61" i="5"/>
  <c r="Y73" i="5"/>
  <c r="L47" i="5"/>
  <c r="Z105" i="5"/>
  <c r="T73" i="5"/>
  <c r="K139" i="5"/>
  <c r="N139" i="5" s="1"/>
  <c r="U155" i="5"/>
  <c r="U200" i="5"/>
  <c r="Y216" i="5"/>
  <c r="X248" i="5"/>
  <c r="V313" i="5"/>
  <c r="X313" i="5"/>
  <c r="Z331" i="5"/>
  <c r="U398" i="5"/>
  <c r="Z410" i="5"/>
  <c r="W410" i="5"/>
  <c r="W436" i="5"/>
  <c r="U482" i="5"/>
  <c r="K398" i="5"/>
  <c r="N398" i="5" s="1"/>
  <c r="J452" i="5"/>
  <c r="M320" i="5"/>
  <c r="M321" i="5" s="1"/>
  <c r="M61" i="5"/>
  <c r="V61" i="5"/>
  <c r="S47" i="5"/>
  <c r="Y47" i="5"/>
  <c r="AA105" i="5"/>
  <c r="X123" i="5"/>
  <c r="Z155" i="5"/>
  <c r="U123" i="5"/>
  <c r="X139" i="5"/>
  <c r="W73" i="5"/>
  <c r="J460" i="5"/>
  <c r="W248" i="5"/>
  <c r="Z248" i="5"/>
  <c r="Z301" i="5"/>
  <c r="U301" i="5"/>
  <c r="W301" i="5"/>
  <c r="V331" i="5"/>
  <c r="V398" i="5"/>
  <c r="W398" i="5"/>
  <c r="X410" i="5"/>
  <c r="Y436" i="5"/>
  <c r="U452" i="5"/>
  <c r="W482" i="5"/>
  <c r="K216" i="5"/>
  <c r="N216" i="5" s="1"/>
  <c r="J398" i="5"/>
  <c r="L61" i="5"/>
  <c r="S61" i="5"/>
  <c r="J47" i="5"/>
  <c r="J105" i="5"/>
  <c r="W105" i="5"/>
  <c r="J155" i="5"/>
  <c r="L73" i="5"/>
  <c r="J61" i="5"/>
  <c r="Y139" i="5"/>
  <c r="Z123" i="5"/>
  <c r="AA123" i="5"/>
  <c r="T61" i="5"/>
  <c r="Z200" i="5"/>
  <c r="W216" i="5"/>
  <c r="X105" i="5"/>
  <c r="T232" i="5"/>
  <c r="AA293" i="5"/>
  <c r="W351" i="5"/>
  <c r="Z398" i="5"/>
  <c r="V410" i="5"/>
  <c r="Z482" i="5"/>
  <c r="K482" i="5"/>
  <c r="N482" i="5" s="1"/>
  <c r="U61" i="5"/>
  <c r="X73" i="5"/>
  <c r="U47" i="5"/>
  <c r="Z47" i="5"/>
  <c r="X47" i="5"/>
  <c r="W123" i="5"/>
  <c r="U139" i="5"/>
  <c r="Y123" i="5"/>
  <c r="AA200" i="5"/>
  <c r="T216" i="5"/>
  <c r="Y232" i="5"/>
  <c r="U232" i="5"/>
  <c r="X232" i="5"/>
  <c r="Y293" i="5"/>
  <c r="U293" i="5"/>
  <c r="W313" i="5"/>
  <c r="Y313" i="5"/>
  <c r="AA351" i="5"/>
  <c r="AA398" i="5"/>
  <c r="Y410" i="5"/>
  <c r="W452" i="5"/>
  <c r="Y452" i="5"/>
  <c r="AA482" i="5"/>
  <c r="J200" i="5"/>
  <c r="K232" i="5"/>
  <c r="N232" i="5" s="1"/>
  <c r="V351" i="5"/>
  <c r="X61" i="5"/>
  <c r="J139" i="5"/>
  <c r="W47" i="5"/>
  <c r="AA155" i="5"/>
  <c r="Y155" i="5"/>
  <c r="X200" i="5"/>
  <c r="AA232" i="5"/>
  <c r="Z293" i="5"/>
  <c r="U313" i="5"/>
  <c r="AA331" i="5"/>
  <c r="X331" i="5"/>
  <c r="Z351" i="5"/>
  <c r="M312" i="5"/>
  <c r="M313" i="5" s="1"/>
  <c r="J351" i="5"/>
  <c r="K994" i="5"/>
  <c r="N994" i="5" s="1"/>
  <c r="K348" i="5"/>
  <c r="K349" i="5" s="1"/>
  <c r="M348" i="5"/>
  <c r="M349" i="5" s="1"/>
  <c r="X442" i="5"/>
  <c r="V442" i="5"/>
  <c r="K442" i="5"/>
  <c r="Z442" i="5"/>
  <c r="U442" i="5"/>
  <c r="J442" i="5"/>
  <c r="Y442" i="5"/>
  <c r="W442" i="5"/>
  <c r="W466" i="5"/>
  <c r="AA466" i="5"/>
  <c r="K466" i="5"/>
  <c r="N466" i="5" s="1"/>
  <c r="X466" i="5"/>
  <c r="U466" i="5"/>
  <c r="V466" i="5"/>
  <c r="U478" i="5"/>
  <c r="AA478" i="5"/>
  <c r="J478" i="5"/>
  <c r="Z478" i="5"/>
  <c r="V478" i="5"/>
  <c r="X478" i="5"/>
  <c r="K478" i="5"/>
  <c r="N478" i="5" s="1"/>
  <c r="W478" i="5"/>
  <c r="W490" i="5"/>
  <c r="J490" i="5"/>
  <c r="U490" i="5"/>
  <c r="K490" i="5"/>
  <c r="N490" i="5" s="1"/>
  <c r="Y490" i="5"/>
  <c r="Z490" i="5"/>
  <c r="X490" i="5"/>
  <c r="K548" i="5"/>
  <c r="AA548" i="5"/>
  <c r="U548" i="5"/>
  <c r="Z548" i="5"/>
  <c r="X548" i="5"/>
  <c r="J548" i="5"/>
  <c r="Y548" i="5"/>
  <c r="W548" i="5"/>
  <c r="X570" i="5"/>
  <c r="Z570" i="5"/>
  <c r="W570" i="5"/>
  <c r="AA570" i="5"/>
  <c r="Y570" i="5"/>
  <c r="J570" i="5"/>
  <c r="U570" i="5"/>
  <c r="J582" i="5"/>
  <c r="K582" i="5"/>
  <c r="N582" i="5" s="1"/>
  <c r="X582" i="5"/>
  <c r="AA582" i="5"/>
  <c r="Z582" i="5"/>
  <c r="W582" i="5"/>
  <c r="Y582" i="5"/>
  <c r="I615" i="5"/>
  <c r="J621" i="5"/>
  <c r="Y621" i="5"/>
  <c r="AA621" i="5"/>
  <c r="Z621" i="5"/>
  <c r="U621" i="5"/>
  <c r="W621" i="5"/>
  <c r="V621" i="5"/>
  <c r="X621" i="5"/>
  <c r="X639" i="5"/>
  <c r="J639" i="5"/>
  <c r="Z639" i="5"/>
  <c r="Y639" i="5"/>
  <c r="AA639" i="5"/>
  <c r="U639" i="5"/>
  <c r="I653" i="5"/>
  <c r="I661" i="5"/>
  <c r="I667" i="5"/>
  <c r="V1054" i="5"/>
  <c r="W1054" i="5"/>
  <c r="J1054" i="5"/>
  <c r="K1054" i="5"/>
  <c r="N1054" i="5" s="1"/>
  <c r="U1054" i="5"/>
  <c r="X224" i="5"/>
  <c r="K1014" i="5"/>
  <c r="N1014" i="5" s="1"/>
  <c r="J1014" i="5"/>
  <c r="V1014" i="5"/>
  <c r="K1030" i="5"/>
  <c r="N1030" i="5" s="1"/>
  <c r="U1030" i="5"/>
  <c r="W1030" i="5"/>
  <c r="V1030" i="5"/>
  <c r="J1038" i="5"/>
  <c r="W1038" i="5"/>
  <c r="V1038" i="5"/>
  <c r="U1038" i="5"/>
  <c r="U1044" i="5"/>
  <c r="K1044" i="5"/>
  <c r="W1044" i="5"/>
  <c r="V1044" i="5"/>
  <c r="K316" i="5"/>
  <c r="K317" i="5" s="1"/>
  <c r="M316" i="5"/>
  <c r="M317" i="5" s="1"/>
  <c r="J412" i="5"/>
  <c r="V412" i="5"/>
  <c r="W412" i="5"/>
  <c r="Y412" i="5"/>
  <c r="K412" i="5"/>
  <c r="AA412" i="5"/>
  <c r="Z412" i="5"/>
  <c r="L412" i="5"/>
  <c r="X412" i="5"/>
  <c r="U412" i="5"/>
  <c r="Y458" i="5"/>
  <c r="AA458" i="5"/>
  <c r="X458" i="5"/>
  <c r="J458" i="5"/>
  <c r="K458" i="5"/>
  <c r="U488" i="5"/>
  <c r="K488" i="5"/>
  <c r="N488" i="5" s="1"/>
  <c r="AA488" i="5"/>
  <c r="X488" i="5"/>
  <c r="Z488" i="5"/>
  <c r="W488" i="5"/>
  <c r="Y488" i="5"/>
  <c r="V488" i="5"/>
  <c r="J532" i="5"/>
  <c r="V532" i="5"/>
  <c r="Y532" i="5"/>
  <c r="W532" i="5"/>
  <c r="K532" i="5"/>
  <c r="N532" i="5" s="1"/>
  <c r="AA532" i="5"/>
  <c r="Z532" i="5"/>
  <c r="X532" i="5"/>
  <c r="U532" i="5"/>
  <c r="Y590" i="5"/>
  <c r="AA590" i="5"/>
  <c r="J590" i="5"/>
  <c r="K590" i="5"/>
  <c r="X590" i="5"/>
  <c r="Z590" i="5"/>
  <c r="V629" i="5"/>
  <c r="W629" i="5"/>
  <c r="Z629" i="5"/>
  <c r="X629" i="5"/>
  <c r="AA629" i="5"/>
  <c r="J629" i="5"/>
  <c r="U629" i="5"/>
  <c r="Y629" i="5"/>
  <c r="AA442" i="5"/>
  <c r="W458" i="5"/>
  <c r="AA490" i="5"/>
  <c r="U582" i="5"/>
  <c r="W639" i="5"/>
  <c r="J996" i="5"/>
  <c r="K996" i="5"/>
  <c r="N996" i="5" s="1"/>
  <c r="W996" i="5"/>
  <c r="U996" i="5"/>
  <c r="U1000" i="5"/>
  <c r="J1000" i="5"/>
  <c r="K1000" i="5"/>
  <c r="N1000" i="5" s="1"/>
  <c r="V1000" i="5"/>
  <c r="W1000" i="5"/>
  <c r="K224" i="5"/>
  <c r="N224" i="5" s="1"/>
  <c r="Z224" i="5"/>
  <c r="V224" i="5"/>
  <c r="U224" i="5"/>
  <c r="T224" i="5"/>
  <c r="AA224" i="5"/>
  <c r="J224" i="5"/>
  <c r="W224" i="5"/>
  <c r="AA256" i="5"/>
  <c r="T256" i="5"/>
  <c r="U256" i="5"/>
  <c r="Y256" i="5"/>
  <c r="W256" i="5"/>
  <c r="X256" i="5"/>
  <c r="Z256" i="5"/>
  <c r="J256" i="5"/>
  <c r="W297" i="5"/>
  <c r="J297" i="5"/>
  <c r="U297" i="5"/>
  <c r="X297" i="5"/>
  <c r="AA297" i="5"/>
  <c r="Z297" i="5"/>
  <c r="Y297" i="5"/>
  <c r="U315" i="5"/>
  <c r="W315" i="5"/>
  <c r="V315" i="5"/>
  <c r="J315" i="5"/>
  <c r="Y315" i="5"/>
  <c r="AA315" i="5"/>
  <c r="Z315" i="5"/>
  <c r="X315" i="5"/>
  <c r="J341" i="5"/>
  <c r="U341" i="5"/>
  <c r="W341" i="5"/>
  <c r="Y341" i="5"/>
  <c r="X341" i="5"/>
  <c r="V341" i="5"/>
  <c r="AA341" i="5"/>
  <c r="V95" i="5"/>
  <c r="W95" i="5"/>
  <c r="U95" i="5"/>
  <c r="X95" i="5"/>
  <c r="AA95" i="5"/>
  <c r="Z95" i="5"/>
  <c r="Y95" i="5"/>
  <c r="L95" i="5"/>
  <c r="J95" i="5"/>
  <c r="X109" i="5"/>
  <c r="AA109" i="5"/>
  <c r="U109" i="5"/>
  <c r="Y109" i="5"/>
  <c r="W109" i="5"/>
  <c r="Z109" i="5"/>
  <c r="AB147" i="5"/>
  <c r="K109" i="5"/>
  <c r="K127" i="5"/>
  <c r="L127" i="5"/>
  <c r="U127" i="5"/>
  <c r="X127" i="5"/>
  <c r="Z127" i="5"/>
  <c r="W127" i="5"/>
  <c r="J127" i="5"/>
  <c r="V127" i="5"/>
  <c r="AB165" i="5" s="1"/>
  <c r="Y127" i="5"/>
  <c r="AA127" i="5"/>
  <c r="Z143" i="5"/>
  <c r="U143" i="5"/>
  <c r="K143" i="5"/>
  <c r="N143" i="5" s="1"/>
  <c r="J143" i="5"/>
  <c r="AA143" i="5"/>
  <c r="X143" i="5"/>
  <c r="V143" i="5"/>
  <c r="W143" i="5"/>
  <c r="U159" i="5"/>
  <c r="K159" i="5"/>
  <c r="Z159" i="5"/>
  <c r="X159" i="5"/>
  <c r="AA159" i="5"/>
  <c r="L159" i="5"/>
  <c r="Y159" i="5"/>
  <c r="J159" i="5"/>
  <c r="J466" i="5"/>
  <c r="N1038" i="5"/>
  <c r="K196" i="5"/>
  <c r="N196" i="5" s="1"/>
  <c r="U196" i="5"/>
  <c r="Y196" i="5"/>
  <c r="Z196" i="5"/>
  <c r="W196" i="5"/>
  <c r="V196" i="5"/>
  <c r="T196" i="5"/>
  <c r="J196" i="5"/>
  <c r="K210" i="5"/>
  <c r="Y210" i="5"/>
  <c r="X210" i="5"/>
  <c r="Z210" i="5"/>
  <c r="T210" i="5"/>
  <c r="V210" i="5"/>
  <c r="U210" i="5"/>
  <c r="W210" i="5"/>
  <c r="Z466" i="5"/>
  <c r="Y240" i="5"/>
  <c r="AA240" i="5"/>
  <c r="V240" i="5"/>
  <c r="Z240" i="5"/>
  <c r="U240" i="5"/>
  <c r="J240" i="5"/>
  <c r="T240" i="5"/>
  <c r="K240" i="5"/>
  <c r="N240" i="5" s="1"/>
  <c r="W240" i="5"/>
  <c r="J289" i="5"/>
  <c r="AA289" i="5"/>
  <c r="V289" i="5"/>
  <c r="Z289" i="5"/>
  <c r="X289" i="5"/>
  <c r="Y289" i="5"/>
  <c r="Y305" i="5"/>
  <c r="X305" i="5"/>
  <c r="J305" i="5"/>
  <c r="U305" i="5"/>
  <c r="M304" i="5"/>
  <c r="M305" i="5" s="1"/>
  <c r="V305" i="5"/>
  <c r="Z305" i="5"/>
  <c r="AA305" i="5"/>
  <c r="W305" i="5"/>
  <c r="X323" i="5"/>
  <c r="Y323" i="5"/>
  <c r="U323" i="5"/>
  <c r="Z323" i="5"/>
  <c r="W323" i="5"/>
  <c r="AA323" i="5"/>
  <c r="U289" i="5"/>
  <c r="Y478" i="5"/>
  <c r="U590" i="5"/>
  <c r="W590" i="5"/>
  <c r="J79" i="5"/>
  <c r="AA79" i="5"/>
  <c r="X79" i="5"/>
  <c r="V79" i="5"/>
  <c r="AB109" i="5" s="1"/>
  <c r="S79" i="5"/>
  <c r="T79" i="5"/>
  <c r="Y79" i="5"/>
  <c r="Z79" i="5"/>
  <c r="W79" i="5"/>
  <c r="M79" i="5"/>
  <c r="L79" i="5"/>
  <c r="U79" i="5"/>
  <c r="J916" i="5"/>
  <c r="V916" i="5"/>
  <c r="U916" i="5"/>
  <c r="K916" i="5"/>
  <c r="N916" i="5" s="1"/>
  <c r="K940" i="5"/>
  <c r="N940" i="5" s="1"/>
  <c r="U940" i="5"/>
  <c r="V940" i="5"/>
  <c r="K944" i="5"/>
  <c r="N944" i="5" s="1"/>
  <c r="U944" i="5"/>
  <c r="V944" i="5"/>
  <c r="J944" i="5"/>
  <c r="X240" i="5"/>
  <c r="Y466" i="5"/>
  <c r="K570" i="5"/>
  <c r="N570" i="5" s="1"/>
  <c r="K717" i="5"/>
  <c r="N717" i="5" s="1"/>
  <c r="U717" i="5"/>
  <c r="Z717" i="5"/>
  <c r="Y717" i="5"/>
  <c r="X717" i="5"/>
  <c r="V717" i="5"/>
  <c r="J717" i="5"/>
  <c r="AA717" i="5"/>
  <c r="U727" i="5"/>
  <c r="J727" i="5"/>
  <c r="X727" i="5"/>
  <c r="V727" i="5"/>
  <c r="AA727" i="5"/>
  <c r="Z727" i="5"/>
  <c r="K727" i="5"/>
  <c r="N727" i="5" s="1"/>
  <c r="Y727" i="5"/>
  <c r="Z735" i="5"/>
  <c r="U735" i="5"/>
  <c r="AA735" i="5"/>
  <c r="Y735" i="5"/>
  <c r="J735" i="5"/>
  <c r="K735" i="5"/>
  <c r="N735" i="5" s="1"/>
  <c r="V735" i="5"/>
  <c r="X735" i="5"/>
  <c r="J741" i="5"/>
  <c r="X741" i="5"/>
  <c r="U741" i="5"/>
  <c r="AA741" i="5"/>
  <c r="Y741" i="5"/>
  <c r="V741" i="5"/>
  <c r="Z741" i="5"/>
  <c r="Y749" i="5"/>
  <c r="AA749" i="5"/>
  <c r="X749" i="5"/>
  <c r="V749" i="5"/>
  <c r="U749" i="5"/>
  <c r="J801" i="5"/>
  <c r="K801" i="5"/>
  <c r="N801" i="5" s="1"/>
  <c r="U809" i="5"/>
  <c r="J809" i="5"/>
  <c r="K809" i="5"/>
  <c r="N809" i="5" s="1"/>
  <c r="U819" i="5"/>
  <c r="J819" i="5"/>
  <c r="V819" i="5"/>
  <c r="K849" i="5"/>
  <c r="N849" i="5" s="1"/>
  <c r="V849" i="5"/>
  <c r="K865" i="5"/>
  <c r="N865" i="5" s="1"/>
  <c r="U865" i="5"/>
  <c r="J865" i="5"/>
  <c r="V865" i="5"/>
  <c r="Z341" i="5"/>
  <c r="V458" i="5"/>
  <c r="V639" i="5"/>
  <c r="J323" i="5"/>
  <c r="J488" i="5"/>
  <c r="N198" i="5"/>
  <c r="K332" i="5"/>
  <c r="K333" i="5" s="1"/>
  <c r="M332" i="5"/>
  <c r="M333" i="5" s="1"/>
  <c r="K346" i="5"/>
  <c r="K347" i="5" s="1"/>
  <c r="M346" i="5"/>
  <c r="M347" i="5" s="1"/>
  <c r="K242" i="5"/>
  <c r="K320" i="5"/>
  <c r="K321" i="5" s="1"/>
  <c r="M334" i="5"/>
  <c r="M335" i="5" s="1"/>
  <c r="J380" i="5"/>
  <c r="K568" i="5"/>
  <c r="N568" i="5" s="1"/>
  <c r="V675" i="5"/>
  <c r="J723" i="5"/>
  <c r="K803" i="5"/>
  <c r="N803" i="5" s="1"/>
  <c r="J749" i="5"/>
  <c r="J1010" i="5"/>
  <c r="J258" i="5"/>
  <c r="J396" i="5"/>
  <c r="J588" i="5"/>
  <c r="J619" i="5"/>
  <c r="K731" i="5"/>
  <c r="N731" i="5" s="1"/>
  <c r="K813" i="5"/>
  <c r="N813" i="5" s="1"/>
  <c r="K749" i="5"/>
  <c r="N749" i="5" s="1"/>
  <c r="K827" i="5"/>
  <c r="N827" i="5" s="1"/>
  <c r="V867" i="5"/>
  <c r="K908" i="5"/>
  <c r="W1006" i="5"/>
  <c r="K446" i="5"/>
  <c r="J673" i="5"/>
  <c r="J731" i="5"/>
  <c r="K867" i="5"/>
  <c r="J908" i="5"/>
  <c r="K1006" i="5"/>
  <c r="N1006" i="5" s="1"/>
  <c r="J867" i="5"/>
  <c r="W1028" i="5"/>
  <c r="K486" i="5"/>
  <c r="K546" i="5"/>
  <c r="J627" i="5"/>
  <c r="J659" i="5"/>
  <c r="V771" i="5"/>
  <c r="K936" i="5"/>
  <c r="V968" i="5"/>
  <c r="W1010" i="5"/>
  <c r="K1028" i="5"/>
  <c r="N1028" i="5" s="1"/>
  <c r="K226" i="5"/>
  <c r="N226" i="5" s="1"/>
  <c r="K396" i="5"/>
  <c r="N396" i="5" s="1"/>
  <c r="K588" i="5"/>
  <c r="N588" i="5" s="1"/>
  <c r="K723" i="5"/>
  <c r="N723" i="5" s="1"/>
  <c r="K771" i="5"/>
  <c r="N771" i="5" s="1"/>
  <c r="J709" i="5"/>
  <c r="K992" i="5"/>
  <c r="K1010" i="5"/>
  <c r="J992" i="5"/>
  <c r="L334" i="5"/>
  <c r="L335" i="5" s="1"/>
  <c r="J226" i="5"/>
  <c r="K318" i="5"/>
  <c r="K319" i="5" s="1"/>
  <c r="M318" i="5"/>
  <c r="M319" i="5" s="1"/>
  <c r="M290" i="5"/>
  <c r="M291" i="5" s="1"/>
  <c r="K290" i="5"/>
  <c r="K291" i="5" s="1"/>
  <c r="K350" i="5"/>
  <c r="K351" i="5" s="1"/>
  <c r="M350" i="5"/>
  <c r="M351" i="5" s="1"/>
  <c r="M330" i="5"/>
  <c r="M331" i="5" s="1"/>
  <c r="K330" i="5"/>
  <c r="K331" i="5" s="1"/>
  <c r="K294" i="5"/>
  <c r="K295" i="5" s="1"/>
  <c r="M294" i="5"/>
  <c r="M295" i="5" s="1"/>
  <c r="K308" i="5"/>
  <c r="M308" i="5"/>
  <c r="M309" i="5" s="1"/>
  <c r="M292" i="5"/>
  <c r="M293" i="5" s="1"/>
  <c r="M310" i="5"/>
  <c r="M311" i="5" s="1"/>
  <c r="K310" i="5"/>
  <c r="K322" i="5"/>
  <c r="M322" i="5"/>
  <c r="M323" i="5" s="1"/>
  <c r="K286" i="5"/>
  <c r="M286" i="5"/>
  <c r="M287" i="5" s="1"/>
  <c r="K324" i="5"/>
  <c r="M324" i="5"/>
  <c r="M325" i="5" s="1"/>
  <c r="M314" i="5"/>
  <c r="M315" i="5" s="1"/>
  <c r="K314" i="5"/>
  <c r="K326" i="5"/>
  <c r="M326" i="5"/>
  <c r="M327" i="5" s="1"/>
  <c r="K288" i="5"/>
  <c r="M288" i="5"/>
  <c r="M289" i="5" s="1"/>
  <c r="K338" i="5"/>
  <c r="M338" i="5"/>
  <c r="M339" i="5" s="1"/>
  <c r="K302" i="5"/>
  <c r="M340" i="5"/>
  <c r="M341" i="5" s="1"/>
  <c r="K340" i="5"/>
  <c r="K342" i="5"/>
  <c r="M342" i="5"/>
  <c r="M343" i="5" s="1"/>
  <c r="K296" i="5"/>
  <c r="M296" i="5"/>
  <c r="M297" i="5" s="1"/>
  <c r="M306" i="5"/>
  <c r="M307" i="5" s="1"/>
  <c r="K306" i="5"/>
  <c r="J1026" i="5"/>
  <c r="W1026" i="5"/>
  <c r="N902" i="5"/>
  <c r="D28" i="10" l="1"/>
  <c r="X843" i="5"/>
  <c r="Z823" i="5"/>
  <c r="X835" i="5"/>
  <c r="X847" i="5"/>
  <c r="X809" i="5"/>
  <c r="X863" i="5"/>
  <c r="Y938" i="5"/>
  <c r="Y974" i="5"/>
  <c r="Y982" i="5"/>
  <c r="Y976" i="5"/>
  <c r="Y980" i="5"/>
  <c r="Y978" i="5"/>
  <c r="W735" i="5"/>
  <c r="Z869" i="5"/>
  <c r="X958" i="5"/>
  <c r="X978" i="5"/>
  <c r="X976" i="5"/>
  <c r="X982" i="5"/>
  <c r="X980" i="5"/>
  <c r="X974" i="5"/>
  <c r="Z801" i="5"/>
  <c r="Z946" i="5"/>
  <c r="Z974" i="5"/>
  <c r="Z978" i="5"/>
  <c r="Z980" i="5"/>
  <c r="Z976" i="5"/>
  <c r="Z982" i="5"/>
  <c r="Z827" i="5"/>
  <c r="Z859" i="5"/>
  <c r="W723" i="5"/>
  <c r="W755" i="5"/>
  <c r="AA950" i="5"/>
  <c r="AA976" i="5"/>
  <c r="AA978" i="5"/>
  <c r="AA974" i="5"/>
  <c r="AA980" i="5"/>
  <c r="AA982" i="5"/>
  <c r="X865" i="5"/>
  <c r="X807" i="5"/>
  <c r="X851" i="5"/>
  <c r="X817" i="5"/>
  <c r="X805" i="5"/>
  <c r="X839" i="5"/>
  <c r="X813" i="5"/>
  <c r="X833" i="5"/>
  <c r="X857" i="5"/>
  <c r="X853" i="5"/>
  <c r="X849" i="5"/>
  <c r="D36" i="10" s="1"/>
  <c r="X861" i="5"/>
  <c r="X801" i="5"/>
  <c r="X845" i="5"/>
  <c r="X831" i="5"/>
  <c r="X803" i="5"/>
  <c r="X829" i="5"/>
  <c r="X827" i="5"/>
  <c r="X821" i="5"/>
  <c r="X869" i="5"/>
  <c r="X855" i="5"/>
  <c r="X823" i="5"/>
  <c r="AB875" i="5"/>
  <c r="X815" i="5"/>
  <c r="X841" i="5"/>
  <c r="Z839" i="5"/>
  <c r="Z847" i="5"/>
  <c r="W715" i="5"/>
  <c r="W743" i="5"/>
  <c r="W751" i="5"/>
  <c r="Z853" i="5"/>
  <c r="AB873" i="5"/>
  <c r="Z845" i="5"/>
  <c r="Z849" i="5"/>
  <c r="W775" i="5"/>
  <c r="W763" i="5"/>
  <c r="Y817" i="5"/>
  <c r="Y871" i="5"/>
  <c r="Y873" i="5"/>
  <c r="Y875" i="5"/>
  <c r="Y877" i="5"/>
  <c r="Y879" i="5"/>
  <c r="AB877" i="5"/>
  <c r="Z821" i="5"/>
  <c r="Z815" i="5"/>
  <c r="W729" i="5"/>
  <c r="Z813" i="5"/>
  <c r="Z819" i="5"/>
  <c r="W753" i="5"/>
  <c r="Z851" i="5"/>
  <c r="Z861" i="5"/>
  <c r="X875" i="5"/>
  <c r="X879" i="5"/>
  <c r="X873" i="5"/>
  <c r="X871" i="5"/>
  <c r="X877" i="5"/>
  <c r="AB879" i="5"/>
  <c r="Z833" i="5"/>
  <c r="Z825" i="5"/>
  <c r="Z807" i="5"/>
  <c r="Z811" i="5"/>
  <c r="Z857" i="5"/>
  <c r="AB871" i="5"/>
  <c r="W727" i="5"/>
  <c r="Z803" i="5"/>
  <c r="W745" i="5"/>
  <c r="Z837" i="5"/>
  <c r="Z863" i="5"/>
  <c r="Z867" i="5"/>
  <c r="Z841" i="5"/>
  <c r="Z817" i="5"/>
  <c r="W731" i="5"/>
  <c r="W773" i="5"/>
  <c r="Z873" i="5"/>
  <c r="Z875" i="5"/>
  <c r="Z871" i="5"/>
  <c r="Z879" i="5"/>
  <c r="Z877" i="5"/>
  <c r="W853" i="5"/>
  <c r="W875" i="5"/>
  <c r="W877" i="5"/>
  <c r="W871" i="5"/>
  <c r="W873" i="5"/>
  <c r="W879" i="5"/>
  <c r="Z809" i="5"/>
  <c r="Z865" i="5"/>
  <c r="Z855" i="5"/>
  <c r="Z829" i="5"/>
  <c r="Z843" i="5"/>
  <c r="W769" i="5"/>
  <c r="W761" i="5"/>
  <c r="Z831" i="5"/>
  <c r="AA857" i="5"/>
  <c r="AA871" i="5"/>
  <c r="AA875" i="5"/>
  <c r="AA879" i="5"/>
  <c r="AA873" i="5"/>
  <c r="AA877" i="5"/>
  <c r="W711" i="5"/>
  <c r="W779" i="5"/>
  <c r="W783" i="5"/>
  <c r="W777" i="5"/>
  <c r="W781" i="5"/>
  <c r="W785" i="5"/>
  <c r="K651" i="5"/>
  <c r="V715" i="5"/>
  <c r="AB725" i="5"/>
  <c r="W721" i="5"/>
  <c r="W767" i="5"/>
  <c r="W739" i="5"/>
  <c r="W709" i="5"/>
  <c r="W725" i="5"/>
  <c r="AB702" i="5"/>
  <c r="AB694" i="5" s="1"/>
  <c r="AB723" i="5"/>
  <c r="AB707" i="5"/>
  <c r="V711" i="5"/>
  <c r="V707" i="5"/>
  <c r="W719" i="5"/>
  <c r="AB721" i="5"/>
  <c r="W889" i="5"/>
  <c r="AB717" i="5"/>
  <c r="W759" i="5"/>
  <c r="W713" i="5"/>
  <c r="W741" i="5"/>
  <c r="W765" i="5"/>
  <c r="W771" i="5"/>
  <c r="W749" i="5"/>
  <c r="W737" i="5"/>
  <c r="W707" i="5"/>
  <c r="W717" i="5"/>
  <c r="V709" i="5"/>
  <c r="AB719" i="5"/>
  <c r="V889" i="5"/>
  <c r="V898" i="5" s="1"/>
  <c r="AB613" i="5"/>
  <c r="L619" i="5"/>
  <c r="W833" i="5"/>
  <c r="W837" i="5"/>
  <c r="S325" i="5"/>
  <c r="S359" i="5"/>
  <c r="S361" i="5"/>
  <c r="S355" i="5"/>
  <c r="S363" i="5"/>
  <c r="S357" i="5"/>
  <c r="W845" i="5"/>
  <c r="T309" i="5"/>
  <c r="T359" i="5"/>
  <c r="T361" i="5"/>
  <c r="T363" i="5"/>
  <c r="T355" i="5"/>
  <c r="T357" i="5"/>
  <c r="S329" i="5"/>
  <c r="S351" i="5"/>
  <c r="S349" i="5"/>
  <c r="S303" i="5"/>
  <c r="S333" i="5"/>
  <c r="S353" i="5"/>
  <c r="S337" i="5"/>
  <c r="S317" i="5"/>
  <c r="S319" i="5"/>
  <c r="S287" i="5"/>
  <c r="S327" i="5"/>
  <c r="S291" i="5"/>
  <c r="S295" i="5"/>
  <c r="S285" i="5"/>
  <c r="S339" i="5"/>
  <c r="S301" i="5"/>
  <c r="S321" i="5"/>
  <c r="S347" i="5"/>
  <c r="S313" i="5"/>
  <c r="K677" i="5"/>
  <c r="T305" i="5"/>
  <c r="S169" i="5"/>
  <c r="S165" i="5"/>
  <c r="S167" i="5"/>
  <c r="S171" i="5"/>
  <c r="S173" i="5"/>
  <c r="S309" i="5"/>
  <c r="S323" i="5"/>
  <c r="S315" i="5"/>
  <c r="S343" i="5"/>
  <c r="S331" i="5"/>
  <c r="S299" i="5"/>
  <c r="S293" i="5"/>
  <c r="S341" i="5"/>
  <c r="S289" i="5"/>
  <c r="S297" i="5"/>
  <c r="S305" i="5"/>
  <c r="S345" i="5"/>
  <c r="S311" i="5"/>
  <c r="S307" i="5"/>
  <c r="T167" i="5"/>
  <c r="T171" i="5"/>
  <c r="T165" i="5"/>
  <c r="T169" i="5"/>
  <c r="T173" i="5"/>
  <c r="W835" i="5"/>
  <c r="T398" i="5"/>
  <c r="G398" i="5" s="1"/>
  <c r="H398" i="5" s="1"/>
  <c r="W857" i="5"/>
  <c r="W847" i="5"/>
  <c r="W859" i="5"/>
  <c r="W849" i="5"/>
  <c r="T390" i="5"/>
  <c r="W855" i="5"/>
  <c r="T394" i="5"/>
  <c r="W865" i="5"/>
  <c r="W803" i="5"/>
  <c r="W819" i="5"/>
  <c r="W809" i="5"/>
  <c r="W851" i="5"/>
  <c r="W843" i="5"/>
  <c r="W811" i="5"/>
  <c r="W831" i="5"/>
  <c r="W823" i="5"/>
  <c r="W841" i="5"/>
  <c r="W801" i="5"/>
  <c r="W813" i="5"/>
  <c r="W839" i="5"/>
  <c r="W829" i="5"/>
  <c r="W807" i="5"/>
  <c r="W817" i="5"/>
  <c r="W815" i="5"/>
  <c r="W863" i="5"/>
  <c r="W869" i="5"/>
  <c r="W861" i="5"/>
  <c r="W827" i="5"/>
  <c r="W805" i="5"/>
  <c r="T113" i="5"/>
  <c r="S137" i="5"/>
  <c r="W867" i="5"/>
  <c r="W825" i="5"/>
  <c r="S408" i="5"/>
  <c r="S260" i="5"/>
  <c r="G260" i="5" s="1"/>
  <c r="S266" i="5"/>
  <c r="G266" i="5" s="1"/>
  <c r="S264" i="5"/>
  <c r="G264" i="5" s="1"/>
  <c r="S262" i="5"/>
  <c r="G262" i="5" s="1"/>
  <c r="S268" i="5"/>
  <c r="G268" i="5" s="1"/>
  <c r="S414" i="5"/>
  <c r="S410" i="5"/>
  <c r="S406" i="5"/>
  <c r="G406" i="5" s="1"/>
  <c r="H406" i="5" s="1"/>
  <c r="T317" i="5"/>
  <c r="T315" i="5"/>
  <c r="T321" i="5"/>
  <c r="T299" i="5"/>
  <c r="T325" i="5"/>
  <c r="T337" i="5"/>
  <c r="T319" i="5"/>
  <c r="T349" i="5"/>
  <c r="Y926" i="5"/>
  <c r="Y962" i="5"/>
  <c r="Y894" i="5"/>
  <c r="T392" i="5"/>
  <c r="Y970" i="5"/>
  <c r="Y932" i="5"/>
  <c r="Y900" i="5"/>
  <c r="Y960" i="5"/>
  <c r="Y936" i="5"/>
  <c r="K659" i="5"/>
  <c r="AA924" i="5"/>
  <c r="Y918" i="5"/>
  <c r="Y946" i="5"/>
  <c r="Y942" i="5"/>
  <c r="Y908" i="5"/>
  <c r="Y954" i="5"/>
  <c r="Y898" i="5"/>
  <c r="Y952" i="5"/>
  <c r="Y912" i="5"/>
  <c r="AA932" i="5"/>
  <c r="AA898" i="5"/>
  <c r="Y966" i="5"/>
  <c r="Y956" i="5"/>
  <c r="Y914" i="5"/>
  <c r="Y904" i="5"/>
  <c r="Y928" i="5"/>
  <c r="T147" i="5"/>
  <c r="G45" i="5"/>
  <c r="G43" i="5"/>
  <c r="D34" i="10"/>
  <c r="N61" i="5"/>
  <c r="AB478" i="5"/>
  <c r="N75" i="5"/>
  <c r="N73" i="5"/>
  <c r="AA894" i="5"/>
  <c r="AA972" i="5"/>
  <c r="AA910" i="5"/>
  <c r="AA962" i="5"/>
  <c r="AA956" i="5"/>
  <c r="AA904" i="5"/>
  <c r="AA922" i="5"/>
  <c r="AA928" i="5"/>
  <c r="N59" i="5"/>
  <c r="N79" i="5"/>
  <c r="N49" i="5"/>
  <c r="N63" i="5"/>
  <c r="D27" i="10" s="1"/>
  <c r="N65" i="5"/>
  <c r="N77" i="5"/>
  <c r="G73" i="5"/>
  <c r="L663" i="5"/>
  <c r="K655" i="5"/>
  <c r="M675" i="5"/>
  <c r="Q675" i="5" s="1"/>
  <c r="K674" i="5"/>
  <c r="L674" i="5" s="1"/>
  <c r="M637" i="5"/>
  <c r="Q637" i="5" s="1"/>
  <c r="K636" i="5"/>
  <c r="M673" i="5"/>
  <c r="Q673" i="5" s="1"/>
  <c r="K672" i="5"/>
  <c r="L673" i="5" s="1"/>
  <c r="M635" i="5"/>
  <c r="Q635" i="5" s="1"/>
  <c r="K634" i="5"/>
  <c r="M629" i="5"/>
  <c r="Q629" i="5" s="1"/>
  <c r="K628" i="5"/>
  <c r="L629" i="5" s="1"/>
  <c r="L671" i="5"/>
  <c r="M657" i="5"/>
  <c r="Q657" i="5" s="1"/>
  <c r="K656" i="5"/>
  <c r="K657" i="5" s="1"/>
  <c r="M669" i="5"/>
  <c r="Q669" i="5" s="1"/>
  <c r="K668" i="5"/>
  <c r="K669" i="5" s="1"/>
  <c r="M625" i="5"/>
  <c r="Q625" i="5" s="1"/>
  <c r="K624" i="5"/>
  <c r="L625" i="5" s="1"/>
  <c r="M647" i="5"/>
  <c r="Q647" i="5" s="1"/>
  <c r="K646" i="5"/>
  <c r="L647" i="5" s="1"/>
  <c r="M631" i="5"/>
  <c r="Q631" i="5" s="1"/>
  <c r="K630" i="5"/>
  <c r="K631" i="5" s="1"/>
  <c r="M621" i="5"/>
  <c r="Q621" i="5" s="1"/>
  <c r="K620" i="5"/>
  <c r="L621" i="5" s="1"/>
  <c r="M639" i="5"/>
  <c r="Q639" i="5" s="1"/>
  <c r="K638" i="5"/>
  <c r="L639" i="5" s="1"/>
  <c r="M649" i="5"/>
  <c r="Q649" i="5" s="1"/>
  <c r="K648" i="5"/>
  <c r="L648" i="5" s="1"/>
  <c r="M617" i="5"/>
  <c r="Q617" i="5" s="1"/>
  <c r="K616" i="5"/>
  <c r="K617" i="5" s="1"/>
  <c r="M679" i="5"/>
  <c r="Q679" i="5" s="1"/>
  <c r="K678" i="5"/>
  <c r="L678" i="5" s="1"/>
  <c r="M623" i="5"/>
  <c r="Q623" i="5" s="1"/>
  <c r="K622" i="5"/>
  <c r="K623" i="5" s="1"/>
  <c r="Q613" i="5"/>
  <c r="K612" i="5"/>
  <c r="L665" i="5"/>
  <c r="M645" i="5"/>
  <c r="Q645" i="5" s="1"/>
  <c r="K644" i="5"/>
  <c r="K645" i="5" s="1"/>
  <c r="M643" i="5"/>
  <c r="Q643" i="5" s="1"/>
  <c r="K642" i="5"/>
  <c r="L642" i="5" s="1"/>
  <c r="M681" i="5"/>
  <c r="Q681" i="5" s="1"/>
  <c r="K680" i="5"/>
  <c r="L681" i="5" s="1"/>
  <c r="M633" i="5"/>
  <c r="Q633" i="5" s="1"/>
  <c r="K632" i="5"/>
  <c r="L633" i="5" s="1"/>
  <c r="M641" i="5"/>
  <c r="Q641" i="5" s="1"/>
  <c r="K640" i="5"/>
  <c r="L640" i="5" s="1"/>
  <c r="Q532" i="5"/>
  <c r="M562" i="5"/>
  <c r="L562" i="5"/>
  <c r="M590" i="5"/>
  <c r="L590" i="5"/>
  <c r="M536" i="5"/>
  <c r="L536" i="5"/>
  <c r="P462" i="5"/>
  <c r="O462" i="5"/>
  <c r="P478" i="5"/>
  <c r="O478" i="5"/>
  <c r="O468" i="5"/>
  <c r="P468" i="5"/>
  <c r="L920" i="5"/>
  <c r="M920" i="5"/>
  <c r="M763" i="5"/>
  <c r="L763" i="5"/>
  <c r="M894" i="5"/>
  <c r="L894" i="5"/>
  <c r="M747" i="5"/>
  <c r="L747" i="5"/>
  <c r="L992" i="5"/>
  <c r="M992" i="5"/>
  <c r="M845" i="5"/>
  <c r="L845" i="5"/>
  <c r="M805" i="5"/>
  <c r="L805" i="5"/>
  <c r="M972" i="5"/>
  <c r="L972" i="5"/>
  <c r="M811" i="5"/>
  <c r="L811" i="5"/>
  <c r="L952" i="5"/>
  <c r="M952" i="5"/>
  <c r="M1042" i="5"/>
  <c r="L1042" i="5"/>
  <c r="M725" i="5"/>
  <c r="L725" i="5"/>
  <c r="M572" i="5"/>
  <c r="L572" i="5"/>
  <c r="M578" i="5"/>
  <c r="L578" i="5"/>
  <c r="M723" i="5"/>
  <c r="L723" i="5"/>
  <c r="M755" i="5"/>
  <c r="L755" i="5"/>
  <c r="M900" i="5"/>
  <c r="L900" i="5"/>
  <c r="M1028" i="5"/>
  <c r="L1028" i="5"/>
  <c r="M996" i="5"/>
  <c r="L996" i="5"/>
  <c r="M837" i="5"/>
  <c r="L837" i="5"/>
  <c r="M556" i="5"/>
  <c r="L556" i="5"/>
  <c r="M560" i="5"/>
  <c r="L560" i="5"/>
  <c r="M586" i="5"/>
  <c r="L586" i="5"/>
  <c r="P492" i="5"/>
  <c r="O492" i="5"/>
  <c r="P448" i="5"/>
  <c r="O448" i="5"/>
  <c r="P464" i="5"/>
  <c r="O464" i="5"/>
  <c r="M910" i="5"/>
  <c r="L910" i="5"/>
  <c r="M1050" i="5"/>
  <c r="L1050" i="5"/>
  <c r="L857" i="5"/>
  <c r="M857" i="5"/>
  <c r="M741" i="5"/>
  <c r="L741" i="5"/>
  <c r="M958" i="5"/>
  <c r="L958" i="5"/>
  <c r="M831" i="5"/>
  <c r="L831" i="5"/>
  <c r="M773" i="5"/>
  <c r="L773" i="5"/>
  <c r="M956" i="5"/>
  <c r="L956" i="5"/>
  <c r="M739" i="5"/>
  <c r="L739" i="5"/>
  <c r="M942" i="5"/>
  <c r="L942" i="5"/>
  <c r="M1010" i="5"/>
  <c r="L1010" i="5"/>
  <c r="M707" i="5"/>
  <c r="L707" i="5"/>
  <c r="P442" i="5"/>
  <c r="O442" i="5"/>
  <c r="O484" i="5"/>
  <c r="P484" i="5"/>
  <c r="P466" i="5"/>
  <c r="O466" i="5"/>
  <c r="M1002" i="5"/>
  <c r="L1002" i="5"/>
  <c r="M934" i="5"/>
  <c r="L934" i="5"/>
  <c r="M998" i="5"/>
  <c r="L998" i="5"/>
  <c r="M829" i="5"/>
  <c r="L829" i="5"/>
  <c r="M839" i="5"/>
  <c r="L839" i="5"/>
  <c r="M1052" i="5"/>
  <c r="L1052" i="5"/>
  <c r="M552" i="5"/>
  <c r="L552" i="5"/>
  <c r="M538" i="5"/>
  <c r="L538" i="5"/>
  <c r="M566" i="5"/>
  <c r="L566" i="5"/>
  <c r="P454" i="5"/>
  <c r="O454" i="5"/>
  <c r="P472" i="5"/>
  <c r="O472" i="5"/>
  <c r="P494" i="5"/>
  <c r="O494" i="5"/>
  <c r="L904" i="5"/>
  <c r="M904" i="5"/>
  <c r="M1046" i="5"/>
  <c r="L1046" i="5"/>
  <c r="M835" i="5"/>
  <c r="L835" i="5"/>
  <c r="L809" i="5"/>
  <c r="M809" i="5"/>
  <c r="M954" i="5"/>
  <c r="L954" i="5"/>
  <c r="L713" i="5"/>
  <c r="M713" i="5"/>
  <c r="M717" i="5"/>
  <c r="L717" i="5"/>
  <c r="M946" i="5"/>
  <c r="L946" i="5"/>
  <c r="M727" i="5"/>
  <c r="L727" i="5"/>
  <c r="M765" i="5"/>
  <c r="L765" i="5"/>
  <c r="M922" i="5"/>
  <c r="L922" i="5"/>
  <c r="M1012" i="5"/>
  <c r="L1012" i="5"/>
  <c r="M544" i="5"/>
  <c r="L544" i="5"/>
  <c r="M554" i="5"/>
  <c r="L554" i="5"/>
  <c r="L558" i="5"/>
  <c r="M558" i="5"/>
  <c r="P432" i="5"/>
  <c r="O432" i="5"/>
  <c r="O440" i="5"/>
  <c r="Q440" i="5" s="1"/>
  <c r="P456" i="5"/>
  <c r="O456" i="5"/>
  <c r="M847" i="5"/>
  <c r="L847" i="5"/>
  <c r="L1024" i="5"/>
  <c r="M1024" i="5"/>
  <c r="M807" i="5"/>
  <c r="L807" i="5"/>
  <c r="M749" i="5"/>
  <c r="L749" i="5"/>
  <c r="L944" i="5"/>
  <c r="M944" i="5"/>
  <c r="M1022" i="5"/>
  <c r="L1022" i="5"/>
  <c r="L709" i="5"/>
  <c r="M709" i="5"/>
  <c r="M926" i="5"/>
  <c r="L926" i="5"/>
  <c r="M719" i="5"/>
  <c r="L719" i="5"/>
  <c r="M757" i="5"/>
  <c r="L757" i="5"/>
  <c r="L912" i="5"/>
  <c r="M912" i="5"/>
  <c r="L1000" i="5"/>
  <c r="M1000" i="5"/>
  <c r="M550" i="5"/>
  <c r="L550" i="5"/>
  <c r="M548" i="5"/>
  <c r="L548" i="5"/>
  <c r="M570" i="5"/>
  <c r="L570" i="5"/>
  <c r="P498" i="5"/>
  <c r="O498" i="5"/>
  <c r="P458" i="5"/>
  <c r="O458" i="5"/>
  <c r="P482" i="5"/>
  <c r="O482" i="5"/>
  <c r="L825" i="5"/>
  <c r="M825" i="5"/>
  <c r="L1008" i="5"/>
  <c r="M1008" i="5"/>
  <c r="M775" i="5"/>
  <c r="L775" i="5"/>
  <c r="L1056" i="5"/>
  <c r="M1056" i="5"/>
  <c r="L928" i="5"/>
  <c r="M928" i="5"/>
  <c r="M1006" i="5"/>
  <c r="L1006" i="5"/>
  <c r="M940" i="5"/>
  <c r="L940" i="5"/>
  <c r="M916" i="5"/>
  <c r="L916" i="5"/>
  <c r="M863" i="5"/>
  <c r="L863" i="5"/>
  <c r="M751" i="5"/>
  <c r="L751" i="5"/>
  <c r="L896" i="5"/>
  <c r="M896" i="5"/>
  <c r="M950" i="5"/>
  <c r="L950" i="5"/>
  <c r="M582" i="5"/>
  <c r="L582" i="5"/>
  <c r="M580" i="5"/>
  <c r="L580" i="5"/>
  <c r="P488" i="5"/>
  <c r="O488" i="5"/>
  <c r="P450" i="5"/>
  <c r="O450" i="5"/>
  <c r="O476" i="5"/>
  <c r="P476" i="5"/>
  <c r="M1058" i="5"/>
  <c r="L1058" i="5"/>
  <c r="M821" i="5"/>
  <c r="L821" i="5"/>
  <c r="L968" i="5"/>
  <c r="M968" i="5"/>
  <c r="M767" i="5"/>
  <c r="L767" i="5"/>
  <c r="M1034" i="5"/>
  <c r="L1034" i="5"/>
  <c r="M924" i="5"/>
  <c r="L924" i="5"/>
  <c r="M867" i="5"/>
  <c r="L867" i="5"/>
  <c r="L801" i="5"/>
  <c r="M801" i="5"/>
  <c r="M855" i="5"/>
  <c r="L855" i="5"/>
  <c r="M1038" i="5"/>
  <c r="L1038" i="5"/>
  <c r="M733" i="5"/>
  <c r="L733" i="5"/>
  <c r="M861" i="5"/>
  <c r="L861" i="5"/>
  <c r="L769" i="5"/>
  <c r="M769" i="5"/>
  <c r="M574" i="5"/>
  <c r="L574" i="5"/>
  <c r="P474" i="5"/>
  <c r="O474" i="5"/>
  <c r="P446" i="5"/>
  <c r="O446" i="5"/>
  <c r="P470" i="5"/>
  <c r="O470" i="5"/>
  <c r="M1036" i="5"/>
  <c r="L1036" i="5"/>
  <c r="M731" i="5"/>
  <c r="L731" i="5"/>
  <c r="M938" i="5"/>
  <c r="L938" i="5"/>
  <c r="L761" i="5"/>
  <c r="M761" i="5"/>
  <c r="L1016" i="5"/>
  <c r="M1016" i="5"/>
  <c r="M914" i="5"/>
  <c r="L914" i="5"/>
  <c r="L841" i="5"/>
  <c r="M841" i="5"/>
  <c r="M1054" i="5"/>
  <c r="L1054" i="5"/>
  <c r="M851" i="5"/>
  <c r="L851" i="5"/>
  <c r="M1020" i="5"/>
  <c r="L1020" i="5"/>
  <c r="M715" i="5"/>
  <c r="L715" i="5"/>
  <c r="M853" i="5"/>
  <c r="L853" i="5"/>
  <c r="M743" i="5"/>
  <c r="L743" i="5"/>
  <c r="Q534" i="5"/>
  <c r="Q528" i="5"/>
  <c r="AA900" i="5"/>
  <c r="Y807" i="5"/>
  <c r="AA938" i="5"/>
  <c r="AA920" i="5"/>
  <c r="AA926" i="5"/>
  <c r="T412" i="5"/>
  <c r="G412" i="5" s="1"/>
  <c r="H412" i="5" s="1"/>
  <c r="AA944" i="5"/>
  <c r="AA936" i="5"/>
  <c r="AA942" i="5"/>
  <c r="AA960" i="5"/>
  <c r="AA952" i="5"/>
  <c r="AA966" i="5"/>
  <c r="T127" i="5"/>
  <c r="T137" i="5"/>
  <c r="AA908" i="5"/>
  <c r="AA954" i="5"/>
  <c r="Y867" i="5"/>
  <c r="T408" i="5"/>
  <c r="AA912" i="5"/>
  <c r="Y813" i="5"/>
  <c r="AA946" i="5"/>
  <c r="AA914" i="5"/>
  <c r="T99" i="5"/>
  <c r="AA948" i="5"/>
  <c r="T410" i="5"/>
  <c r="AA970" i="5"/>
  <c r="AA918" i="5"/>
  <c r="T331" i="5"/>
  <c r="T345" i="5"/>
  <c r="T287" i="5"/>
  <c r="T285" i="5"/>
  <c r="T327" i="5"/>
  <c r="T323" i="5"/>
  <c r="T333" i="5"/>
  <c r="T307" i="5"/>
  <c r="Y801" i="5"/>
  <c r="Y861" i="5"/>
  <c r="T295" i="5"/>
  <c r="T303" i="5"/>
  <c r="T301" i="5"/>
  <c r="T291" i="5"/>
  <c r="T103" i="5"/>
  <c r="T297" i="5"/>
  <c r="T341" i="5"/>
  <c r="T351" i="5"/>
  <c r="T339" i="5"/>
  <c r="T353" i="5"/>
  <c r="T329" i="5"/>
  <c r="T313" i="5"/>
  <c r="T311" i="5"/>
  <c r="T347" i="5"/>
  <c r="Y859" i="5"/>
  <c r="T289" i="5"/>
  <c r="T335" i="5"/>
  <c r="G335" i="5" s="1"/>
  <c r="H335" i="5" s="1"/>
  <c r="T343" i="5"/>
  <c r="S390" i="5"/>
  <c r="X926" i="5"/>
  <c r="X908" i="5"/>
  <c r="AA849" i="5"/>
  <c r="AA801" i="5"/>
  <c r="AB847" i="5"/>
  <c r="X972" i="5"/>
  <c r="S250" i="5"/>
  <c r="G250" i="5" s="1"/>
  <c r="H250" i="5" s="1"/>
  <c r="X928" i="5"/>
  <c r="R444" i="5"/>
  <c r="G444" i="5" s="1"/>
  <c r="H444" i="5" s="1"/>
  <c r="R490" i="5"/>
  <c r="G490" i="5" s="1"/>
  <c r="H490" i="5" s="1"/>
  <c r="R460" i="5"/>
  <c r="G460" i="5" s="1"/>
  <c r="H460" i="5" s="1"/>
  <c r="R436" i="5"/>
  <c r="G436" i="5" s="1"/>
  <c r="H436" i="5" s="1"/>
  <c r="R452" i="5"/>
  <c r="G452" i="5" s="1"/>
  <c r="H452" i="5" s="1"/>
  <c r="R430" i="5"/>
  <c r="G430" i="5" s="1"/>
  <c r="H430" i="5" s="1"/>
  <c r="R480" i="5"/>
  <c r="G480" i="5" s="1"/>
  <c r="H480" i="5" s="1"/>
  <c r="R438" i="5"/>
  <c r="R496" i="5"/>
  <c r="G496" i="5" s="1"/>
  <c r="H496" i="5" s="1"/>
  <c r="T414" i="5"/>
  <c r="AA821" i="5"/>
  <c r="AA847" i="5"/>
  <c r="Y865" i="5"/>
  <c r="Y833" i="5"/>
  <c r="AA833" i="5"/>
  <c r="AA865" i="5"/>
  <c r="AB837" i="5"/>
  <c r="AB855" i="5"/>
  <c r="AA845" i="5"/>
  <c r="AA807" i="5"/>
  <c r="Y825" i="5"/>
  <c r="AA815" i="5"/>
  <c r="AA863" i="5"/>
  <c r="Z970" i="5"/>
  <c r="AA829" i="5"/>
  <c r="Y835" i="5"/>
  <c r="AA843" i="5"/>
  <c r="AA825" i="5"/>
  <c r="Y948" i="5"/>
  <c r="Y924" i="5"/>
  <c r="Y910" i="5"/>
  <c r="AB833" i="5"/>
  <c r="AA839" i="5"/>
  <c r="Y803" i="5"/>
  <c r="Y855" i="5"/>
  <c r="AA819" i="5"/>
  <c r="AA851" i="5"/>
  <c r="AA837" i="5"/>
  <c r="Y964" i="5"/>
  <c r="Y815" i="5"/>
  <c r="AA803" i="5"/>
  <c r="Y839" i="5"/>
  <c r="Y819" i="5"/>
  <c r="Y823" i="5"/>
  <c r="AA835" i="5"/>
  <c r="Y845" i="5"/>
  <c r="AA827" i="5"/>
  <c r="Y950" i="5"/>
  <c r="Y829" i="5"/>
  <c r="AA853" i="5"/>
  <c r="Y809" i="5"/>
  <c r="Y849" i="5"/>
  <c r="AA823" i="5"/>
  <c r="AA867" i="5"/>
  <c r="Y827" i="5"/>
  <c r="AA817" i="5"/>
  <c r="Y920" i="5"/>
  <c r="AA805" i="5"/>
  <c r="AA831" i="5"/>
  <c r="AB859" i="5"/>
  <c r="Z932" i="5"/>
  <c r="D38" i="10" s="1"/>
  <c r="AA855" i="5"/>
  <c r="AA809" i="5"/>
  <c r="AA813" i="5"/>
  <c r="AA861" i="5"/>
  <c r="Y843" i="5"/>
  <c r="AA811" i="5"/>
  <c r="Y972" i="5"/>
  <c r="Y922" i="5"/>
  <c r="AB863" i="5"/>
  <c r="Y851" i="5"/>
  <c r="Y811" i="5"/>
  <c r="Y821" i="5"/>
  <c r="Y857" i="5"/>
  <c r="Y841" i="5"/>
  <c r="AA902" i="5"/>
  <c r="AA968" i="5"/>
  <c r="AA958" i="5"/>
  <c r="AA985" i="5"/>
  <c r="AA906" i="5"/>
  <c r="AA964" i="5"/>
  <c r="AA916" i="5"/>
  <c r="AA940" i="5"/>
  <c r="AA896" i="5"/>
  <c r="AA930" i="5"/>
  <c r="AA841" i="5"/>
  <c r="AA859" i="5"/>
  <c r="AA934" i="5"/>
  <c r="AA869" i="5"/>
  <c r="AB867" i="5"/>
  <c r="N301" i="5"/>
  <c r="N299" i="5"/>
  <c r="H43" i="5"/>
  <c r="N335" i="5"/>
  <c r="N345" i="5"/>
  <c r="N329" i="5"/>
  <c r="N313" i="5"/>
  <c r="Q753" i="5"/>
  <c r="Q823" i="5"/>
  <c r="Q869" i="5"/>
  <c r="Q813" i="5"/>
  <c r="Q771" i="5"/>
  <c r="Q803" i="5"/>
  <c r="Q849" i="5"/>
  <c r="Q859" i="5"/>
  <c r="Q729" i="5"/>
  <c r="Q745" i="5"/>
  <c r="Q737" i="5"/>
  <c r="Q711" i="5"/>
  <c r="Q735" i="5"/>
  <c r="Z908" i="5"/>
  <c r="T153" i="5"/>
  <c r="S119" i="5"/>
  <c r="V803" i="5"/>
  <c r="AB817" i="5" s="1"/>
  <c r="T97" i="5"/>
  <c r="S109" i="5"/>
  <c r="T139" i="5"/>
  <c r="T115" i="5"/>
  <c r="AB831" i="5"/>
  <c r="T123" i="5"/>
  <c r="S123" i="5"/>
  <c r="T155" i="5"/>
  <c r="Z918" i="5"/>
  <c r="S145" i="5"/>
  <c r="T109" i="5"/>
  <c r="S127" i="5"/>
  <c r="T159" i="5"/>
  <c r="T107" i="5"/>
  <c r="T125" i="5"/>
  <c r="T101" i="5"/>
  <c r="S139" i="5"/>
  <c r="T105" i="5"/>
  <c r="S105" i="5"/>
  <c r="Z898" i="5"/>
  <c r="S135" i="5"/>
  <c r="Z936" i="5"/>
  <c r="S121" i="5"/>
  <c r="AB827" i="5"/>
  <c r="T135" i="5"/>
  <c r="V990" i="5"/>
  <c r="Z954" i="5"/>
  <c r="T111" i="5"/>
  <c r="T149" i="5"/>
  <c r="T117" i="5"/>
  <c r="T151" i="5"/>
  <c r="Q721" i="5"/>
  <c r="AB843" i="5"/>
  <c r="S153" i="5"/>
  <c r="Z960" i="5"/>
  <c r="T119" i="5"/>
  <c r="T145" i="5"/>
  <c r="S111" i="5"/>
  <c r="S159" i="5"/>
  <c r="T121" i="5"/>
  <c r="T157" i="5"/>
  <c r="T163" i="5"/>
  <c r="Q833" i="5"/>
  <c r="AB869" i="5"/>
  <c r="AB853" i="5"/>
  <c r="Q759" i="5"/>
  <c r="Z942" i="5"/>
  <c r="T129" i="5"/>
  <c r="S97" i="5"/>
  <c r="T143" i="5"/>
  <c r="T95" i="5"/>
  <c r="T131" i="5"/>
  <c r="AB835" i="5"/>
  <c r="S151" i="5"/>
  <c r="S161" i="5"/>
  <c r="S143" i="5"/>
  <c r="S95" i="5"/>
  <c r="T141" i="5"/>
  <c r="T425" i="5"/>
  <c r="T517" i="5"/>
  <c r="T608" i="5"/>
  <c r="T161" i="5"/>
  <c r="V809" i="5"/>
  <c r="AB823" i="5" s="1"/>
  <c r="Q827" i="5"/>
  <c r="V801" i="5"/>
  <c r="AB815" i="5" s="1"/>
  <c r="Q865" i="5"/>
  <c r="Q843" i="5"/>
  <c r="V896" i="5"/>
  <c r="V998" i="5"/>
  <c r="T133" i="5"/>
  <c r="AB861" i="5"/>
  <c r="N755" i="5"/>
  <c r="N841" i="5"/>
  <c r="N867" i="5"/>
  <c r="N831" i="5"/>
  <c r="N863" i="5"/>
  <c r="R815" i="5"/>
  <c r="AB472" i="5"/>
  <c r="AB456" i="5"/>
  <c r="N119" i="5"/>
  <c r="S238" i="5"/>
  <c r="G238" i="5" s="1"/>
  <c r="H238" i="5" s="1"/>
  <c r="S204" i="5"/>
  <c r="G204" i="5" s="1"/>
  <c r="H204" i="5" s="1"/>
  <c r="Y944" i="5"/>
  <c r="Y896" i="5"/>
  <c r="Y958" i="5"/>
  <c r="Y940" i="5"/>
  <c r="Y968" i="5"/>
  <c r="Y930" i="5"/>
  <c r="Y916" i="5"/>
  <c r="Y906" i="5"/>
  <c r="Y934" i="5"/>
  <c r="Y902" i="5"/>
  <c r="Y985" i="5"/>
  <c r="Y853" i="5"/>
  <c r="Y805" i="5"/>
  <c r="Y863" i="5"/>
  <c r="Y837" i="5"/>
  <c r="Y831" i="5"/>
  <c r="Y869" i="5"/>
  <c r="Y847" i="5"/>
  <c r="X916" i="5"/>
  <c r="X918" i="5"/>
  <c r="X966" i="5"/>
  <c r="X956" i="5"/>
  <c r="X962" i="5"/>
  <c r="X910" i="5"/>
  <c r="S210" i="5"/>
  <c r="G210" i="5" s="1"/>
  <c r="H210" i="5" s="1"/>
  <c r="S208" i="5"/>
  <c r="G208" i="5" s="1"/>
  <c r="H208" i="5" s="1"/>
  <c r="S222" i="5"/>
  <c r="G222" i="5" s="1"/>
  <c r="H222" i="5" s="1"/>
  <c r="X904" i="5"/>
  <c r="X922" i="5"/>
  <c r="X970" i="5"/>
  <c r="S202" i="5"/>
  <c r="G202" i="5" s="1"/>
  <c r="H202" i="5" s="1"/>
  <c r="S234" i="5"/>
  <c r="G234" i="5" s="1"/>
  <c r="H234" i="5" s="1"/>
  <c r="X894" i="5"/>
  <c r="X948" i="5"/>
  <c r="X985" i="5"/>
  <c r="X934" i="5"/>
  <c r="X944" i="5"/>
  <c r="S196" i="5"/>
  <c r="G196" i="5" s="1"/>
  <c r="H196" i="5" s="1"/>
  <c r="S216" i="5"/>
  <c r="G216" i="5" s="1"/>
  <c r="H216" i="5" s="1"/>
  <c r="S248" i="5"/>
  <c r="G248" i="5" s="1"/>
  <c r="H248" i="5" s="1"/>
  <c r="S236" i="5"/>
  <c r="G236" i="5" s="1"/>
  <c r="H236" i="5" s="1"/>
  <c r="S220" i="5"/>
  <c r="G220" i="5" s="1"/>
  <c r="H220" i="5" s="1"/>
  <c r="X952" i="5"/>
  <c r="X964" i="5"/>
  <c r="X920" i="5"/>
  <c r="X896" i="5"/>
  <c r="X968" i="5"/>
  <c r="X930" i="5"/>
  <c r="S256" i="5"/>
  <c r="G256" i="5" s="1"/>
  <c r="H256" i="5" s="1"/>
  <c r="S232" i="5"/>
  <c r="G232" i="5" s="1"/>
  <c r="H232" i="5" s="1"/>
  <c r="S200" i="5"/>
  <c r="G200" i="5" s="1"/>
  <c r="H200" i="5" s="1"/>
  <c r="X960" i="5"/>
  <c r="S206" i="5"/>
  <c r="G206" i="5" s="1"/>
  <c r="H206" i="5" s="1"/>
  <c r="X932" i="5"/>
  <c r="X914" i="5"/>
  <c r="X938" i="5"/>
  <c r="X906" i="5"/>
  <c r="S224" i="5"/>
  <c r="G224" i="5" s="1"/>
  <c r="H224" i="5" s="1"/>
  <c r="S258" i="5"/>
  <c r="G258" i="5" s="1"/>
  <c r="H258" i="5" s="1"/>
  <c r="X942" i="5"/>
  <c r="S254" i="5"/>
  <c r="G254" i="5" s="1"/>
  <c r="H254" i="5" s="1"/>
  <c r="S194" i="5"/>
  <c r="G194" i="5" s="1"/>
  <c r="H194" i="5" s="1"/>
  <c r="X900" i="5"/>
  <c r="X912" i="5"/>
  <c r="X950" i="5"/>
  <c r="X902" i="5"/>
  <c r="X940" i="5"/>
  <c r="X954" i="5"/>
  <c r="X898" i="5"/>
  <c r="S192" i="5"/>
  <c r="G192" i="5" s="1"/>
  <c r="H192" i="5" s="1"/>
  <c r="X946" i="5"/>
  <c r="S218" i="5"/>
  <c r="G218" i="5" s="1"/>
  <c r="H218" i="5" s="1"/>
  <c r="X936" i="5"/>
  <c r="X924" i="5"/>
  <c r="AB829" i="5"/>
  <c r="AB273" i="5"/>
  <c r="AB271" i="5"/>
  <c r="AB272" i="5"/>
  <c r="AB839" i="5"/>
  <c r="AB825" i="5"/>
  <c r="AB129" i="5"/>
  <c r="R817" i="5"/>
  <c r="L336" i="5"/>
  <c r="L337" i="5" s="1"/>
  <c r="N337" i="5" s="1"/>
  <c r="Q434" i="5"/>
  <c r="R522" i="5"/>
  <c r="N155" i="5"/>
  <c r="Q522" i="5"/>
  <c r="AB131" i="5"/>
  <c r="N107" i="5"/>
  <c r="N131" i="5"/>
  <c r="N125" i="5"/>
  <c r="R540" i="5"/>
  <c r="N558" i="5"/>
  <c r="N135" i="5"/>
  <c r="N121" i="5"/>
  <c r="K285" i="5"/>
  <c r="N285" i="5" s="1"/>
  <c r="N137" i="5"/>
  <c r="Q1032" i="5"/>
  <c r="G77" i="5"/>
  <c r="H77" i="5" s="1"/>
  <c r="R588" i="5"/>
  <c r="G588" i="5" s="1"/>
  <c r="H588" i="5" s="1"/>
  <c r="R528" i="5"/>
  <c r="G528" i="5" s="1"/>
  <c r="H528" i="5" s="1"/>
  <c r="N163" i="5"/>
  <c r="Q994" i="5"/>
  <c r="Q1018" i="5"/>
  <c r="G376" i="5"/>
  <c r="H376" i="5" s="1"/>
  <c r="AB454" i="5"/>
  <c r="N97" i="5"/>
  <c r="N147" i="5"/>
  <c r="R843" i="5"/>
  <c r="G843" i="5" s="1"/>
  <c r="AB570" i="5"/>
  <c r="AB462" i="5"/>
  <c r="R711" i="5"/>
  <c r="G711" i="5" s="1"/>
  <c r="H711" i="5" s="1"/>
  <c r="G49" i="5"/>
  <c r="H49" i="5" s="1"/>
  <c r="G380" i="5"/>
  <c r="H380" i="5" s="1"/>
  <c r="N157" i="5"/>
  <c r="R827" i="5"/>
  <c r="R524" i="5"/>
  <c r="Q1030" i="5"/>
  <c r="Q970" i="5"/>
  <c r="L655" i="5"/>
  <c r="Q568" i="5"/>
  <c r="G65" i="5"/>
  <c r="H65" i="5" s="1"/>
  <c r="Q576" i="5"/>
  <c r="Q932" i="5"/>
  <c r="Q546" i="5"/>
  <c r="R964" i="5"/>
  <c r="S517" i="5"/>
  <c r="S608" i="5"/>
  <c r="S425" i="5"/>
  <c r="S500" i="5" s="1"/>
  <c r="S396" i="5"/>
  <c r="G396" i="5" s="1"/>
  <c r="H396" i="5" s="1"/>
  <c r="S394" i="5"/>
  <c r="S392" i="5"/>
  <c r="AB82" i="5"/>
  <c r="AB84" i="5"/>
  <c r="AB83" i="5"/>
  <c r="S147" i="5"/>
  <c r="S113" i="5"/>
  <c r="S129" i="5"/>
  <c r="S103" i="5"/>
  <c r="S149" i="5"/>
  <c r="S107" i="5"/>
  <c r="S101" i="5"/>
  <c r="S141" i="5"/>
  <c r="S133" i="5"/>
  <c r="S131" i="5"/>
  <c r="S125" i="5"/>
  <c r="S163" i="5"/>
  <c r="S115" i="5"/>
  <c r="S155" i="5"/>
  <c r="S157" i="5"/>
  <c r="S117" i="5"/>
  <c r="S99" i="5"/>
  <c r="AB857" i="5"/>
  <c r="AB849" i="5"/>
  <c r="AB811" i="5"/>
  <c r="AB865" i="5"/>
  <c r="AB841" i="5"/>
  <c r="AB851" i="5"/>
  <c r="AB813" i="5"/>
  <c r="V807" i="5"/>
  <c r="AB821" i="5" s="1"/>
  <c r="V805" i="5"/>
  <c r="AB819" i="5" s="1"/>
  <c r="AB796" i="5"/>
  <c r="AB845" i="5"/>
  <c r="AB801" i="5"/>
  <c r="S226" i="5"/>
  <c r="G226" i="5" s="1"/>
  <c r="H226" i="5" s="1"/>
  <c r="S242" i="5"/>
  <c r="G242" i="5" s="1"/>
  <c r="H242" i="5" s="1"/>
  <c r="S228" i="5"/>
  <c r="G228" i="5" s="1"/>
  <c r="H228" i="5" s="1"/>
  <c r="S190" i="5"/>
  <c r="G190" i="5" s="1"/>
  <c r="H190" i="5" s="1"/>
  <c r="S246" i="5"/>
  <c r="G246" i="5" s="1"/>
  <c r="H246" i="5" s="1"/>
  <c r="S230" i="5"/>
  <c r="G230" i="5" s="1"/>
  <c r="H230" i="5" s="1"/>
  <c r="S212" i="5"/>
  <c r="G212" i="5" s="1"/>
  <c r="H212" i="5" s="1"/>
  <c r="S214" i="5"/>
  <c r="G214" i="5" s="1"/>
  <c r="H214" i="5" s="1"/>
  <c r="S244" i="5"/>
  <c r="G244" i="5" s="1"/>
  <c r="H244" i="5" s="1"/>
  <c r="S198" i="5"/>
  <c r="G198" i="5" s="1"/>
  <c r="H198" i="5" s="1"/>
  <c r="Z958" i="5"/>
  <c r="Z952" i="5"/>
  <c r="Z920" i="5"/>
  <c r="Z922" i="5"/>
  <c r="Z896" i="5"/>
  <c r="Z964" i="5"/>
  <c r="Z940" i="5"/>
  <c r="Z950" i="5"/>
  <c r="Z910" i="5"/>
  <c r="Z930" i="5"/>
  <c r="Z938" i="5"/>
  <c r="Z944" i="5"/>
  <c r="Z902" i="5"/>
  <c r="Z968" i="5"/>
  <c r="Z934" i="5"/>
  <c r="Z928" i="5"/>
  <c r="Z894" i="5"/>
  <c r="Z985" i="5"/>
  <c r="Z966" i="5"/>
  <c r="Z904" i="5"/>
  <c r="Z914" i="5"/>
  <c r="Z900" i="5"/>
  <c r="Z972" i="5"/>
  <c r="Z948" i="5"/>
  <c r="Z906" i="5"/>
  <c r="Z926" i="5"/>
  <c r="Z956" i="5"/>
  <c r="Z916" i="5"/>
  <c r="Z962" i="5"/>
  <c r="Z912" i="5"/>
  <c r="Z924" i="5"/>
  <c r="S252" i="5"/>
  <c r="G252" i="5" s="1"/>
  <c r="H252" i="5" s="1"/>
  <c r="AB418" i="5"/>
  <c r="AB419" i="5"/>
  <c r="AB416" i="5"/>
  <c r="AB417" i="5"/>
  <c r="R823" i="5"/>
  <c r="G823" i="5" s="1"/>
  <c r="R833" i="5"/>
  <c r="Q1044" i="5"/>
  <c r="R990" i="5"/>
  <c r="G990" i="5" s="1"/>
  <c r="Q908" i="5"/>
  <c r="R932" i="5"/>
  <c r="R735" i="5"/>
  <c r="R534" i="5"/>
  <c r="G534" i="5" s="1"/>
  <c r="H534" i="5" s="1"/>
  <c r="N111" i="5"/>
  <c r="Q990" i="5"/>
  <c r="N390" i="5"/>
  <c r="Q526" i="5"/>
  <c r="N145" i="5"/>
  <c r="R568" i="5"/>
  <c r="G568" i="5" s="1"/>
  <c r="H568" i="5" s="1"/>
  <c r="R966" i="5"/>
  <c r="R1048" i="5"/>
  <c r="Q588" i="5"/>
  <c r="K619" i="5"/>
  <c r="R970" i="5"/>
  <c r="R576" i="5"/>
  <c r="G576" i="5" s="1"/>
  <c r="H576" i="5" s="1"/>
  <c r="Q436" i="5"/>
  <c r="Q438" i="5"/>
  <c r="Q1048" i="5"/>
  <c r="R813" i="5"/>
  <c r="G813" i="5" s="1"/>
  <c r="Q1014" i="5"/>
  <c r="G63" i="5"/>
  <c r="H63" i="5" s="1"/>
  <c r="Q1004" i="5"/>
  <c r="R759" i="5"/>
  <c r="R930" i="5"/>
  <c r="Q906" i="5"/>
  <c r="G59" i="5"/>
  <c r="H59" i="5" s="1"/>
  <c r="R819" i="5"/>
  <c r="Q1040" i="5"/>
  <c r="R737" i="5"/>
  <c r="R948" i="5"/>
  <c r="N151" i="5"/>
  <c r="R721" i="5"/>
  <c r="G721" i="5" s="1"/>
  <c r="H721" i="5" s="1"/>
  <c r="R869" i="5"/>
  <c r="Q480" i="5"/>
  <c r="Q444" i="5"/>
  <c r="Q490" i="5"/>
  <c r="L320" i="5"/>
  <c r="L321" i="5" s="1"/>
  <c r="N321" i="5" s="1"/>
  <c r="Q918" i="5"/>
  <c r="G75" i="5"/>
  <c r="H75" i="5" s="1"/>
  <c r="Q960" i="5"/>
  <c r="R753" i="5"/>
  <c r="Q898" i="5"/>
  <c r="R1040" i="5"/>
  <c r="G1040" i="5" s="1"/>
  <c r="AB127" i="5"/>
  <c r="R584" i="5"/>
  <c r="G584" i="5" s="1"/>
  <c r="H584" i="5" s="1"/>
  <c r="R771" i="5"/>
  <c r="Q948" i="5"/>
  <c r="R745" i="5"/>
  <c r="R898" i="5"/>
  <c r="G898" i="5" s="1"/>
  <c r="K627" i="5"/>
  <c r="R859" i="5"/>
  <c r="G859" i="5" s="1"/>
  <c r="Q902" i="5"/>
  <c r="N127" i="5"/>
  <c r="L352" i="5"/>
  <c r="L353" i="5" s="1"/>
  <c r="N353" i="5" s="1"/>
  <c r="R564" i="5"/>
  <c r="G564" i="5" s="1"/>
  <c r="H564" i="5" s="1"/>
  <c r="R1018" i="5"/>
  <c r="AB474" i="5"/>
  <c r="AB466" i="5"/>
  <c r="AB458" i="5"/>
  <c r="K663" i="5"/>
  <c r="Q540" i="5"/>
  <c r="R906" i="5"/>
  <c r="R994" i="5"/>
  <c r="R1026" i="5"/>
  <c r="L304" i="5"/>
  <c r="L305" i="5" s="1"/>
  <c r="Q486" i="5"/>
  <c r="R865" i="5"/>
  <c r="L627" i="5"/>
  <c r="R960" i="5"/>
  <c r="R936" i="5"/>
  <c r="R1032" i="5"/>
  <c r="G61" i="5"/>
  <c r="H61" i="5" s="1"/>
  <c r="G374" i="5"/>
  <c r="H374" i="5" s="1"/>
  <c r="N406" i="5"/>
  <c r="L659" i="5"/>
  <c r="L677" i="5"/>
  <c r="N918" i="5"/>
  <c r="R918" i="5"/>
  <c r="G918" i="5" s="1"/>
  <c r="G372" i="5"/>
  <c r="H372" i="5" s="1"/>
  <c r="K665" i="5"/>
  <c r="G47" i="5"/>
  <c r="H47" i="5" s="1"/>
  <c r="L651" i="5"/>
  <c r="R526" i="5"/>
  <c r="G526" i="5" s="1"/>
  <c r="H526" i="5" s="1"/>
  <c r="R849" i="5"/>
  <c r="K671" i="5"/>
  <c r="R1014" i="5"/>
  <c r="G1014" i="5" s="1"/>
  <c r="R532" i="5"/>
  <c r="G532" i="5" s="1"/>
  <c r="H532" i="5" s="1"/>
  <c r="N392" i="5"/>
  <c r="Q936" i="5"/>
  <c r="Q964" i="5"/>
  <c r="Q430" i="5"/>
  <c r="N434" i="5"/>
  <c r="R1004" i="5"/>
  <c r="R803" i="5"/>
  <c r="Q564" i="5"/>
  <c r="L332" i="5"/>
  <c r="L333" i="5" s="1"/>
  <c r="N333" i="5" s="1"/>
  <c r="Q962" i="5"/>
  <c r="N159" i="5"/>
  <c r="Q966" i="5"/>
  <c r="Q584" i="5"/>
  <c r="Q496" i="5"/>
  <c r="G79" i="5"/>
  <c r="H79" i="5" s="1"/>
  <c r="R902" i="5"/>
  <c r="G902" i="5" s="1"/>
  <c r="R1030" i="5"/>
  <c r="L348" i="5"/>
  <c r="L349" i="5" s="1"/>
  <c r="N349" i="5" s="1"/>
  <c r="AB468" i="5"/>
  <c r="AB476" i="5"/>
  <c r="L316" i="5"/>
  <c r="L317" i="5" s="1"/>
  <c r="N317" i="5" s="1"/>
  <c r="H73" i="5"/>
  <c r="N47" i="5"/>
  <c r="R729" i="5"/>
  <c r="Q460" i="5"/>
  <c r="N123" i="5"/>
  <c r="N95" i="5"/>
  <c r="Q1026" i="5"/>
  <c r="Q930" i="5"/>
  <c r="N210" i="5"/>
  <c r="AB133" i="5"/>
  <c r="AB135" i="5"/>
  <c r="AB125" i="5"/>
  <c r="N590" i="5"/>
  <c r="N1044" i="5"/>
  <c r="R1044" i="5"/>
  <c r="K653" i="5"/>
  <c r="L653" i="5"/>
  <c r="N458" i="5"/>
  <c r="L667" i="5"/>
  <c r="K667" i="5"/>
  <c r="R962" i="5"/>
  <c r="N109" i="5"/>
  <c r="N412" i="5"/>
  <c r="L661" i="5"/>
  <c r="K661" i="5"/>
  <c r="N548" i="5"/>
  <c r="Q452" i="5"/>
  <c r="N442" i="5"/>
  <c r="G240" i="5"/>
  <c r="H240" i="5" s="1"/>
  <c r="K615" i="5"/>
  <c r="L615" i="5"/>
  <c r="Q542" i="5"/>
  <c r="R542" i="5"/>
  <c r="G542" i="5" s="1"/>
  <c r="H542" i="5" s="1"/>
  <c r="L346" i="5"/>
  <c r="L347" i="5" s="1"/>
  <c r="N347" i="5" s="1"/>
  <c r="N1010" i="5"/>
  <c r="N546" i="5"/>
  <c r="R546" i="5"/>
  <c r="G546" i="5" s="1"/>
  <c r="H546" i="5" s="1"/>
  <c r="N992" i="5"/>
  <c r="N486" i="5"/>
  <c r="Q530" i="5"/>
  <c r="R530" i="5"/>
  <c r="N446" i="5"/>
  <c r="N242" i="5"/>
  <c r="N908" i="5"/>
  <c r="R908" i="5"/>
  <c r="G908" i="5" s="1"/>
  <c r="L330" i="5"/>
  <c r="L331" i="5" s="1"/>
  <c r="N331" i="5" s="1"/>
  <c r="L294" i="5"/>
  <c r="L295" i="5" s="1"/>
  <c r="N295" i="5" s="1"/>
  <c r="L318" i="5"/>
  <c r="L319" i="5" s="1"/>
  <c r="L290" i="5"/>
  <c r="L291" i="5" s="1"/>
  <c r="L350" i="5"/>
  <c r="L351" i="5" s="1"/>
  <c r="N351" i="5" s="1"/>
  <c r="K303" i="5"/>
  <c r="L302" i="5"/>
  <c r="L303" i="5" s="1"/>
  <c r="K327" i="5"/>
  <c r="L326" i="5"/>
  <c r="L327" i="5" s="1"/>
  <c r="K309" i="5"/>
  <c r="L308" i="5"/>
  <c r="L309" i="5" s="1"/>
  <c r="K297" i="5"/>
  <c r="L296" i="5"/>
  <c r="L297" i="5" s="1"/>
  <c r="K289" i="5"/>
  <c r="L288" i="5"/>
  <c r="L289" i="5" s="1"/>
  <c r="K315" i="5"/>
  <c r="L314" i="5"/>
  <c r="L315" i="5" s="1"/>
  <c r="K323" i="5"/>
  <c r="L322" i="5"/>
  <c r="L323" i="5" s="1"/>
  <c r="K325" i="5"/>
  <c r="L324" i="5"/>
  <c r="L325" i="5" s="1"/>
  <c r="K311" i="5"/>
  <c r="L310" i="5"/>
  <c r="L311" i="5" s="1"/>
  <c r="K307" i="5"/>
  <c r="L306" i="5"/>
  <c r="L307" i="5" s="1"/>
  <c r="K341" i="5"/>
  <c r="L340" i="5"/>
  <c r="L341" i="5" s="1"/>
  <c r="K287" i="5"/>
  <c r="L286" i="5"/>
  <c r="L287" i="5" s="1"/>
  <c r="K343" i="5"/>
  <c r="L342" i="5"/>
  <c r="L343" i="5" s="1"/>
  <c r="K339" i="5"/>
  <c r="L338" i="5"/>
  <c r="L339" i="5" s="1"/>
  <c r="L292" i="5"/>
  <c r="L293" i="5" s="1"/>
  <c r="N293" i="5" s="1"/>
  <c r="D37" i="10" l="1"/>
  <c r="D39" i="10"/>
  <c r="D35" i="10"/>
  <c r="G394" i="5"/>
  <c r="H394" i="5" s="1"/>
  <c r="G299" i="5"/>
  <c r="H299" i="5" s="1"/>
  <c r="G301" i="5"/>
  <c r="H301" i="5" s="1"/>
  <c r="Z1060" i="5"/>
  <c r="Z1068" i="5"/>
  <c r="Z1064" i="5"/>
  <c r="Z1062" i="5"/>
  <c r="Z1066" i="5"/>
  <c r="X1064" i="5"/>
  <c r="X1062" i="5"/>
  <c r="X1066" i="5"/>
  <c r="X1068" i="5"/>
  <c r="X1060" i="5"/>
  <c r="Y1066" i="5"/>
  <c r="Y1064" i="5"/>
  <c r="Y1062" i="5"/>
  <c r="Y1068" i="5"/>
  <c r="Y1060" i="5"/>
  <c r="AA1064" i="5"/>
  <c r="AA1066" i="5"/>
  <c r="AA1068" i="5"/>
  <c r="AA1062" i="5"/>
  <c r="AA1060" i="5"/>
  <c r="V900" i="5"/>
  <c r="AB916" i="5" s="1"/>
  <c r="V994" i="5"/>
  <c r="V894" i="5"/>
  <c r="AB910" i="5" s="1"/>
  <c r="V902" i="5"/>
  <c r="AB918" i="5" s="1"/>
  <c r="AB980" i="5"/>
  <c r="AB974" i="5"/>
  <c r="AB976" i="5"/>
  <c r="AB982" i="5"/>
  <c r="AB978" i="5"/>
  <c r="W964" i="5"/>
  <c r="AB1012" i="5" s="1"/>
  <c r="W978" i="5"/>
  <c r="W976" i="5"/>
  <c r="W982" i="5"/>
  <c r="W974" i="5"/>
  <c r="W980" i="5"/>
  <c r="V992" i="5"/>
  <c r="V996" i="5"/>
  <c r="AB948" i="5"/>
  <c r="W926" i="5"/>
  <c r="AB695" i="5"/>
  <c r="W960" i="5"/>
  <c r="AB1008" i="5" s="1"/>
  <c r="AB693" i="5"/>
  <c r="W958" i="5"/>
  <c r="AB1006" i="5" s="1"/>
  <c r="W908" i="5"/>
  <c r="R651" i="5"/>
  <c r="W914" i="5"/>
  <c r="G359" i="5"/>
  <c r="W932" i="5"/>
  <c r="W950" i="5"/>
  <c r="W942" i="5"/>
  <c r="AB990" i="5" s="1"/>
  <c r="W970" i="5"/>
  <c r="AB1028" i="5" s="1"/>
  <c r="W946" i="5"/>
  <c r="AB994" i="5" s="1"/>
  <c r="W898" i="5"/>
  <c r="W930" i="5"/>
  <c r="AB966" i="5"/>
  <c r="W956" i="5"/>
  <c r="AB1004" i="5" s="1"/>
  <c r="W922" i="5"/>
  <c r="W938" i="5"/>
  <c r="W918" i="5"/>
  <c r="AB930" i="5"/>
  <c r="N619" i="5"/>
  <c r="W916" i="5"/>
  <c r="AB926" i="5"/>
  <c r="W904" i="5"/>
  <c r="W900" i="5"/>
  <c r="W894" i="5"/>
  <c r="W912" i="5"/>
  <c r="W934" i="5"/>
  <c r="AB946" i="5"/>
  <c r="W928" i="5"/>
  <c r="W952" i="5"/>
  <c r="AB1000" i="5" s="1"/>
  <c r="W966" i="5"/>
  <c r="AB1024" i="5" s="1"/>
  <c r="W910" i="5"/>
  <c r="AB964" i="5"/>
  <c r="AB904" i="5"/>
  <c r="W968" i="5"/>
  <c r="AB1026" i="5" s="1"/>
  <c r="AB962" i="5"/>
  <c r="W896" i="5"/>
  <c r="W936" i="5"/>
  <c r="W906" i="5"/>
  <c r="W924" i="5"/>
  <c r="W920" i="5"/>
  <c r="W944" i="5"/>
  <c r="AB992" i="5" s="1"/>
  <c r="AB934" i="5"/>
  <c r="W940" i="5"/>
  <c r="AB924" i="5"/>
  <c r="W962" i="5"/>
  <c r="AB1010" i="5" s="1"/>
  <c r="W902" i="5"/>
  <c r="W948" i="5"/>
  <c r="AB996" i="5" s="1"/>
  <c r="W972" i="5"/>
  <c r="AB1030" i="5" s="1"/>
  <c r="T689" i="5"/>
  <c r="T691" i="5"/>
  <c r="T685" i="5"/>
  <c r="T687" i="5"/>
  <c r="T683" i="5"/>
  <c r="S685" i="5"/>
  <c r="S687" i="5"/>
  <c r="S683" i="5"/>
  <c r="S691" i="5"/>
  <c r="S689" i="5"/>
  <c r="W954" i="5"/>
  <c r="AB1002" i="5" s="1"/>
  <c r="T594" i="5"/>
  <c r="T592" i="5"/>
  <c r="T596" i="5"/>
  <c r="T600" i="5"/>
  <c r="T598" i="5"/>
  <c r="S596" i="5"/>
  <c r="S594" i="5"/>
  <c r="S592" i="5"/>
  <c r="S600" i="5"/>
  <c r="S598" i="5"/>
  <c r="G169" i="5"/>
  <c r="G361" i="5"/>
  <c r="AB972" i="5"/>
  <c r="AB968" i="5"/>
  <c r="AB942" i="5"/>
  <c r="AB958" i="5"/>
  <c r="G313" i="5"/>
  <c r="H313" i="5" s="1"/>
  <c r="G1026" i="5"/>
  <c r="G1018" i="5"/>
  <c r="G745" i="5"/>
  <c r="H745" i="5" s="1"/>
  <c r="G869" i="5"/>
  <c r="AB889" i="5"/>
  <c r="AB880" i="5" s="1"/>
  <c r="AB902" i="5"/>
  <c r="AB954" i="5"/>
  <c r="AB956" i="5"/>
  <c r="AB970" i="5"/>
  <c r="AB936" i="5"/>
  <c r="AB922" i="5"/>
  <c r="G363" i="5"/>
  <c r="G930" i="5"/>
  <c r="AB940" i="5"/>
  <c r="AB952" i="5"/>
  <c r="AB960" i="5"/>
  <c r="G165" i="5"/>
  <c r="AB896" i="5"/>
  <c r="AB908" i="5"/>
  <c r="AB898" i="5"/>
  <c r="AB932" i="5"/>
  <c r="AB950" i="5"/>
  <c r="G1004" i="5"/>
  <c r="G970" i="5"/>
  <c r="AB938" i="5"/>
  <c r="AB906" i="5"/>
  <c r="AB928" i="5"/>
  <c r="AB912" i="5"/>
  <c r="AB914" i="5"/>
  <c r="G833" i="5"/>
  <c r="AB900" i="5"/>
  <c r="AB894" i="5"/>
  <c r="AB920" i="5"/>
  <c r="AB944" i="5"/>
  <c r="X1036" i="5"/>
  <c r="AB1032" i="5"/>
  <c r="G345" i="5"/>
  <c r="H345" i="5" s="1"/>
  <c r="N659" i="5"/>
  <c r="G305" i="5"/>
  <c r="H305" i="5" s="1"/>
  <c r="G357" i="5"/>
  <c r="S504" i="5"/>
  <c r="S502" i="5"/>
  <c r="S506" i="5"/>
  <c r="S508" i="5"/>
  <c r="T500" i="5"/>
  <c r="T508" i="5"/>
  <c r="T506" i="5"/>
  <c r="T502" i="5"/>
  <c r="T504" i="5"/>
  <c r="G355" i="5"/>
  <c r="G329" i="5"/>
  <c r="H329" i="5" s="1"/>
  <c r="G414" i="5"/>
  <c r="H414" i="5" s="1"/>
  <c r="G113" i="5"/>
  <c r="H113" i="5" s="1"/>
  <c r="G147" i="5"/>
  <c r="H147" i="5" s="1"/>
  <c r="G173" i="5"/>
  <c r="G392" i="5"/>
  <c r="H392" i="5" s="1"/>
  <c r="G171" i="5"/>
  <c r="G167" i="5"/>
  <c r="G390" i="5"/>
  <c r="H390" i="5" s="1"/>
  <c r="G408" i="5"/>
  <c r="H408" i="5" s="1"/>
  <c r="G137" i="5"/>
  <c r="H137" i="5" s="1"/>
  <c r="G410" i="5"/>
  <c r="H410" i="5" s="1"/>
  <c r="G319" i="5"/>
  <c r="H319" i="5" s="1"/>
  <c r="X1024" i="5"/>
  <c r="R655" i="5"/>
  <c r="R743" i="5"/>
  <c r="G743" i="5" s="1"/>
  <c r="H743" i="5" s="1"/>
  <c r="R847" i="5"/>
  <c r="R851" i="5"/>
  <c r="Q1036" i="5"/>
  <c r="Q743" i="5"/>
  <c r="R1016" i="5"/>
  <c r="R574" i="5"/>
  <c r="G574" i="5" s="1"/>
  <c r="H574" i="5" s="1"/>
  <c r="R1038" i="5"/>
  <c r="G1038" i="5" s="1"/>
  <c r="H1038" i="5" s="1"/>
  <c r="R821" i="5"/>
  <c r="R940" i="5"/>
  <c r="G940" i="5" s="1"/>
  <c r="H940" i="5" s="1"/>
  <c r="Q853" i="5"/>
  <c r="Q1054" i="5"/>
  <c r="R775" i="5"/>
  <c r="G775" i="5" s="1"/>
  <c r="H775" i="5" s="1"/>
  <c r="Q761" i="5"/>
  <c r="R550" i="5"/>
  <c r="Q470" i="5"/>
  <c r="R719" i="5"/>
  <c r="G729" i="5" s="1"/>
  <c r="H729" i="5" s="1"/>
  <c r="R944" i="5"/>
  <c r="Q942" i="5"/>
  <c r="Q837" i="5"/>
  <c r="R590" i="5"/>
  <c r="G590" i="5" s="1"/>
  <c r="H590" i="5" s="1"/>
  <c r="R769" i="5"/>
  <c r="G769" i="5" s="1"/>
  <c r="H769" i="5" s="1"/>
  <c r="Q855" i="5"/>
  <c r="Q1034" i="5"/>
  <c r="Q1058" i="5"/>
  <c r="Q580" i="5"/>
  <c r="Q1038" i="5"/>
  <c r="Q558" i="5"/>
  <c r="Q922" i="5"/>
  <c r="Q717" i="5"/>
  <c r="R835" i="5"/>
  <c r="G835" i="5" s="1"/>
  <c r="H835" i="5" s="1"/>
  <c r="R472" i="5"/>
  <c r="G472" i="5" s="1"/>
  <c r="H472" i="5" s="1"/>
  <c r="R552" i="5"/>
  <c r="G552" i="5" s="1"/>
  <c r="H552" i="5" s="1"/>
  <c r="Q998" i="5"/>
  <c r="Q484" i="5"/>
  <c r="R942" i="5"/>
  <c r="G942" i="5" s="1"/>
  <c r="H942" i="5" s="1"/>
  <c r="Q831" i="5"/>
  <c r="Q1050" i="5"/>
  <c r="Q492" i="5"/>
  <c r="R837" i="5"/>
  <c r="G837" i="5" s="1"/>
  <c r="Q755" i="5"/>
  <c r="Q725" i="5"/>
  <c r="R972" i="5"/>
  <c r="G972" i="5" s="1"/>
  <c r="H972" i="5" s="1"/>
  <c r="R747" i="5"/>
  <c r="G747" i="5" s="1"/>
  <c r="H747" i="5" s="1"/>
  <c r="R458" i="5"/>
  <c r="K675" i="5"/>
  <c r="L675" i="5"/>
  <c r="Q751" i="5"/>
  <c r="Q1006" i="5"/>
  <c r="R1008" i="5"/>
  <c r="Q498" i="5"/>
  <c r="Q1000" i="5"/>
  <c r="Q926" i="5"/>
  <c r="R749" i="5"/>
  <c r="Q851" i="5"/>
  <c r="R456" i="5"/>
  <c r="G456" i="5" s="1"/>
  <c r="H456" i="5" s="1"/>
  <c r="R554" i="5"/>
  <c r="G554" i="5" s="1"/>
  <c r="H554" i="5" s="1"/>
  <c r="R765" i="5"/>
  <c r="R713" i="5"/>
  <c r="G713" i="5" s="1"/>
  <c r="H713" i="5" s="1"/>
  <c r="R1046" i="5"/>
  <c r="Q454" i="5"/>
  <c r="R1052" i="5"/>
  <c r="Q934" i="5"/>
  <c r="Q442" i="5"/>
  <c r="Q739" i="5"/>
  <c r="R958" i="5"/>
  <c r="G958" i="5" s="1"/>
  <c r="H958" i="5" s="1"/>
  <c r="Q910" i="5"/>
  <c r="Q586" i="5"/>
  <c r="R996" i="5"/>
  <c r="Q723" i="5"/>
  <c r="R1042" i="5"/>
  <c r="G1042" i="5" s="1"/>
  <c r="H1042" i="5" s="1"/>
  <c r="Q805" i="5"/>
  <c r="R894" i="5"/>
  <c r="G894" i="5" s="1"/>
  <c r="R478" i="5"/>
  <c r="Q552" i="5"/>
  <c r="Q972" i="5"/>
  <c r="R922" i="5"/>
  <c r="K649" i="5"/>
  <c r="R558" i="5"/>
  <c r="G558" i="5" s="1"/>
  <c r="H558" i="5" s="1"/>
  <c r="R1036" i="5"/>
  <c r="G1036" i="5" s="1"/>
  <c r="H1036" i="5" s="1"/>
  <c r="Q747" i="5"/>
  <c r="Q896" i="5"/>
  <c r="Q944" i="5"/>
  <c r="Q847" i="5"/>
  <c r="Q562" i="5"/>
  <c r="R725" i="5"/>
  <c r="R755" i="5"/>
  <c r="R998" i="5"/>
  <c r="G998" i="5" s="1"/>
  <c r="H998" i="5" s="1"/>
  <c r="L649" i="5"/>
  <c r="R831" i="5"/>
  <c r="G831" i="5" s="1"/>
  <c r="H831" i="5" s="1"/>
  <c r="R492" i="5"/>
  <c r="G492" i="5" s="1"/>
  <c r="H492" i="5" s="1"/>
  <c r="R1050" i="5"/>
  <c r="G1050" i="5" s="1"/>
  <c r="H1050" i="5" s="1"/>
  <c r="Q835" i="5"/>
  <c r="R484" i="5"/>
  <c r="G484" i="5" s="1"/>
  <c r="H484" i="5" s="1"/>
  <c r="R665" i="5"/>
  <c r="P664" i="5" s="1"/>
  <c r="Q574" i="5"/>
  <c r="R468" i="5"/>
  <c r="Q992" i="5"/>
  <c r="R739" i="5"/>
  <c r="G739" i="5" s="1"/>
  <c r="H739" i="5" s="1"/>
  <c r="L679" i="5"/>
  <c r="Q1042" i="5"/>
  <c r="K679" i="5"/>
  <c r="R562" i="5"/>
  <c r="G562" i="5" s="1"/>
  <c r="H562" i="5" s="1"/>
  <c r="Q590" i="5"/>
  <c r="L641" i="5"/>
  <c r="R926" i="5"/>
  <c r="G936" i="5" s="1"/>
  <c r="K641" i="5"/>
  <c r="Q958" i="5"/>
  <c r="Q1008" i="5"/>
  <c r="R934" i="5"/>
  <c r="R580" i="5"/>
  <c r="G580" i="5" s="1"/>
  <c r="H580" i="5" s="1"/>
  <c r="Q456" i="5"/>
  <c r="R805" i="5"/>
  <c r="G805" i="5" s="1"/>
  <c r="H805" i="5" s="1"/>
  <c r="Q1020" i="5"/>
  <c r="Q914" i="5"/>
  <c r="Q731" i="5"/>
  <c r="R474" i="5"/>
  <c r="G474" i="5" s="1"/>
  <c r="H474" i="5" s="1"/>
  <c r="Q733" i="5"/>
  <c r="R494" i="5"/>
  <c r="G494" i="5" s="1"/>
  <c r="H494" i="5" s="1"/>
  <c r="R829" i="5"/>
  <c r="R920" i="5"/>
  <c r="K643" i="5"/>
  <c r="R454" i="5"/>
  <c r="G454" i="5" s="1"/>
  <c r="H454" i="5" s="1"/>
  <c r="Q894" i="5"/>
  <c r="R910" i="5"/>
  <c r="L620" i="5"/>
  <c r="K621" i="5"/>
  <c r="R621" i="5" s="1"/>
  <c r="L668" i="5"/>
  <c r="L669" i="5"/>
  <c r="R669" i="5" s="1"/>
  <c r="R1006" i="5"/>
  <c r="R751" i="5"/>
  <c r="R1058" i="5"/>
  <c r="G1058" i="5" s="1"/>
  <c r="H1058" i="5" s="1"/>
  <c r="R498" i="5"/>
  <c r="G498" i="5" s="1"/>
  <c r="H498" i="5" s="1"/>
  <c r="Q1046" i="5"/>
  <c r="L644" i="5"/>
  <c r="L645" i="5"/>
  <c r="R645" i="5" s="1"/>
  <c r="L672" i="5"/>
  <c r="K673" i="5"/>
  <c r="R673" i="5" s="1"/>
  <c r="L634" i="5"/>
  <c r="L635" i="5"/>
  <c r="R1054" i="5"/>
  <c r="G1054" i="5" s="1"/>
  <c r="H1054" i="5" s="1"/>
  <c r="R1000" i="5"/>
  <c r="G1000" i="5" s="1"/>
  <c r="H1000" i="5" s="1"/>
  <c r="R853" i="5"/>
  <c r="G853" i="5" s="1"/>
  <c r="H853" i="5" s="1"/>
  <c r="L616" i="5"/>
  <c r="L617" i="5"/>
  <c r="N617" i="5" s="1"/>
  <c r="L630" i="5"/>
  <c r="L631" i="5"/>
  <c r="R631" i="5" s="1"/>
  <c r="L656" i="5"/>
  <c r="L657" i="5"/>
  <c r="N657" i="5" s="1"/>
  <c r="R761" i="5"/>
  <c r="G761" i="5" s="1"/>
  <c r="H761" i="5" s="1"/>
  <c r="R723" i="5"/>
  <c r="G723" i="5" s="1"/>
  <c r="H723" i="5" s="1"/>
  <c r="Q867" i="5"/>
  <c r="Q968" i="5"/>
  <c r="Q450" i="5"/>
  <c r="Q950" i="5"/>
  <c r="L632" i="5"/>
  <c r="K633" i="5"/>
  <c r="R633" i="5" s="1"/>
  <c r="L636" i="5"/>
  <c r="K637" i="5"/>
  <c r="L637" i="5"/>
  <c r="K635" i="5"/>
  <c r="R1034" i="5"/>
  <c r="R470" i="5"/>
  <c r="G470" i="5" s="1"/>
  <c r="H470" i="5" s="1"/>
  <c r="K613" i="5"/>
  <c r="L612" i="5"/>
  <c r="L613" i="5"/>
  <c r="L646" i="5"/>
  <c r="K647" i="5"/>
  <c r="R647" i="5" s="1"/>
  <c r="R586" i="5"/>
  <c r="G586" i="5" s="1"/>
  <c r="H586" i="5" s="1"/>
  <c r="Q1052" i="5"/>
  <c r="Q924" i="5"/>
  <c r="K681" i="5"/>
  <c r="N681" i="5" s="1"/>
  <c r="L680" i="5"/>
  <c r="L628" i="5"/>
  <c r="K629" i="5"/>
  <c r="R629" i="5" s="1"/>
  <c r="P628" i="5" s="1"/>
  <c r="L643" i="5"/>
  <c r="R855" i="5"/>
  <c r="G865" i="5" s="1"/>
  <c r="L622" i="5"/>
  <c r="L623" i="5"/>
  <c r="R623" i="5" s="1"/>
  <c r="L638" i="5"/>
  <c r="K639" i="5"/>
  <c r="R639" i="5" s="1"/>
  <c r="L624" i="5"/>
  <c r="K625" i="5"/>
  <c r="N625" i="5" s="1"/>
  <c r="Q472" i="5"/>
  <c r="Q749" i="5"/>
  <c r="Q536" i="5"/>
  <c r="R717" i="5"/>
  <c r="Q821" i="5"/>
  <c r="Q488" i="5"/>
  <c r="Q940" i="5"/>
  <c r="Q775" i="5"/>
  <c r="Q458" i="5"/>
  <c r="Q550" i="5"/>
  <c r="Q719" i="5"/>
  <c r="Q554" i="5"/>
  <c r="Q765" i="5"/>
  <c r="Q996" i="5"/>
  <c r="Q478" i="5"/>
  <c r="G111" i="5"/>
  <c r="H111" i="5" s="1"/>
  <c r="Q715" i="5"/>
  <c r="R841" i="5"/>
  <c r="G841" i="5" s="1"/>
  <c r="H841" i="5" s="1"/>
  <c r="Q938" i="5"/>
  <c r="Q446" i="5"/>
  <c r="Q861" i="5"/>
  <c r="R801" i="5"/>
  <c r="G801" i="5" s="1"/>
  <c r="H801" i="5" s="1"/>
  <c r="R767" i="5"/>
  <c r="R476" i="5"/>
  <c r="G476" i="5" s="1"/>
  <c r="H476" i="5" s="1"/>
  <c r="Q582" i="5"/>
  <c r="Q863" i="5"/>
  <c r="R928" i="5"/>
  <c r="G928" i="5" s="1"/>
  <c r="Q825" i="5"/>
  <c r="Q570" i="5"/>
  <c r="R912" i="5"/>
  <c r="G912" i="5" s="1"/>
  <c r="H912" i="5" s="1"/>
  <c r="R709" i="5"/>
  <c r="Q807" i="5"/>
  <c r="R440" i="5"/>
  <c r="G440" i="5" s="1"/>
  <c r="H440" i="5" s="1"/>
  <c r="R544" i="5"/>
  <c r="G544" i="5" s="1"/>
  <c r="H544" i="5" s="1"/>
  <c r="Q727" i="5"/>
  <c r="Q954" i="5"/>
  <c r="R904" i="5"/>
  <c r="G904" i="5" s="1"/>
  <c r="H904" i="5" s="1"/>
  <c r="R566" i="5"/>
  <c r="G566" i="5" s="1"/>
  <c r="H566" i="5" s="1"/>
  <c r="Q839" i="5"/>
  <c r="Q1002" i="5"/>
  <c r="Q707" i="5"/>
  <c r="Q956" i="5"/>
  <c r="R741" i="5"/>
  <c r="Q464" i="5"/>
  <c r="R560" i="5"/>
  <c r="G560" i="5" s="1"/>
  <c r="H560" i="5" s="1"/>
  <c r="Q1028" i="5"/>
  <c r="Q578" i="5"/>
  <c r="Q952" i="5"/>
  <c r="Q845" i="5"/>
  <c r="Q763" i="5"/>
  <c r="Q462" i="5"/>
  <c r="R857" i="5"/>
  <c r="G857" i="5" s="1"/>
  <c r="H857" i="5" s="1"/>
  <c r="Q916" i="5"/>
  <c r="Q1056" i="5"/>
  <c r="Q482" i="5"/>
  <c r="R548" i="5"/>
  <c r="G548" i="5" s="1"/>
  <c r="H548" i="5" s="1"/>
  <c r="Q757" i="5"/>
  <c r="R1022" i="5"/>
  <c r="G1022" i="5" s="1"/>
  <c r="H1022" i="5" s="1"/>
  <c r="Q1024" i="5"/>
  <c r="R432" i="5"/>
  <c r="R1012" i="5"/>
  <c r="Q946" i="5"/>
  <c r="R809" i="5"/>
  <c r="Q494" i="5"/>
  <c r="Q538" i="5"/>
  <c r="Q829" i="5"/>
  <c r="R992" i="5"/>
  <c r="G992" i="5" s="1"/>
  <c r="H992" i="5" s="1"/>
  <c r="R466" i="5"/>
  <c r="G466" i="5" s="1"/>
  <c r="H466" i="5" s="1"/>
  <c r="Q1010" i="5"/>
  <c r="Q773" i="5"/>
  <c r="Q448" i="5"/>
  <c r="Q556" i="5"/>
  <c r="Q900" i="5"/>
  <c r="Q572" i="5"/>
  <c r="R811" i="5"/>
  <c r="R488" i="5"/>
  <c r="G488" i="5" s="1"/>
  <c r="H488" i="5" s="1"/>
  <c r="R968" i="5"/>
  <c r="G968" i="5" s="1"/>
  <c r="H968" i="5" s="1"/>
  <c r="R1056" i="5"/>
  <c r="G1056" i="5" s="1"/>
  <c r="H1056" i="5" s="1"/>
  <c r="R1024" i="5"/>
  <c r="G1024" i="5" s="1"/>
  <c r="Q920" i="5"/>
  <c r="R924" i="5"/>
  <c r="G924" i="5" s="1"/>
  <c r="H924" i="5" s="1"/>
  <c r="Q548" i="5"/>
  <c r="R757" i="5"/>
  <c r="G757" i="5" s="1"/>
  <c r="H757" i="5" s="1"/>
  <c r="R538" i="5"/>
  <c r="G538" i="5" s="1"/>
  <c r="H538" i="5" s="1"/>
  <c r="R900" i="5"/>
  <c r="G900" i="5" s="1"/>
  <c r="H900" i="5" s="1"/>
  <c r="Q857" i="5"/>
  <c r="R450" i="5"/>
  <c r="R448" i="5"/>
  <c r="D30" i="10" s="1"/>
  <c r="Q811" i="5"/>
  <c r="R916" i="5"/>
  <c r="G916" i="5" s="1"/>
  <c r="H916" i="5" s="1"/>
  <c r="R1010" i="5"/>
  <c r="G1010" i="5" s="1"/>
  <c r="H1010" i="5" s="1"/>
  <c r="Q1022" i="5"/>
  <c r="R556" i="5"/>
  <c r="G556" i="5" s="1"/>
  <c r="H556" i="5" s="1"/>
  <c r="R536" i="5"/>
  <c r="G536" i="5" s="1"/>
  <c r="H536" i="5" s="1"/>
  <c r="R733" i="5"/>
  <c r="R773" i="5"/>
  <c r="G773" i="5" s="1"/>
  <c r="H773" i="5" s="1"/>
  <c r="R482" i="5"/>
  <c r="G482" i="5" s="1"/>
  <c r="H482" i="5" s="1"/>
  <c r="Q432" i="5"/>
  <c r="R946" i="5"/>
  <c r="G946" i="5" s="1"/>
  <c r="H946" i="5" s="1"/>
  <c r="R572" i="5"/>
  <c r="G572" i="5" s="1"/>
  <c r="H572" i="5" s="1"/>
  <c r="Q474" i="5"/>
  <c r="R950" i="5"/>
  <c r="G950" i="5" s="1"/>
  <c r="H950" i="5" s="1"/>
  <c r="R914" i="5"/>
  <c r="G914" i="5" s="1"/>
  <c r="H914" i="5" s="1"/>
  <c r="Q466" i="5"/>
  <c r="R731" i="5"/>
  <c r="G731" i="5" s="1"/>
  <c r="H731" i="5" s="1"/>
  <c r="R1020" i="5"/>
  <c r="G1020" i="5" s="1"/>
  <c r="H1020" i="5" s="1"/>
  <c r="R867" i="5"/>
  <c r="G867" i="5" s="1"/>
  <c r="H867" i="5" s="1"/>
  <c r="Q1012" i="5"/>
  <c r="Q841" i="5"/>
  <c r="Q560" i="5"/>
  <c r="Q741" i="5"/>
  <c r="R727" i="5"/>
  <c r="G727" i="5" s="1"/>
  <c r="H727" i="5" s="1"/>
  <c r="R1002" i="5"/>
  <c r="G1002" i="5" s="1"/>
  <c r="H1002" i="5" s="1"/>
  <c r="R707" i="5"/>
  <c r="R763" i="5"/>
  <c r="G763" i="5" s="1"/>
  <c r="H763" i="5" s="1"/>
  <c r="R462" i="5"/>
  <c r="G462" i="5" s="1"/>
  <c r="H462" i="5" s="1"/>
  <c r="Q928" i="5"/>
  <c r="Q801" i="5"/>
  <c r="Q476" i="5"/>
  <c r="Q709" i="5"/>
  <c r="R954" i="5"/>
  <c r="G954" i="5" s="1"/>
  <c r="H954" i="5" s="1"/>
  <c r="R845" i="5"/>
  <c r="R807" i="5"/>
  <c r="G807" i="5" s="1"/>
  <c r="H807" i="5" s="1"/>
  <c r="Q904" i="5"/>
  <c r="R956" i="5"/>
  <c r="G956" i="5" s="1"/>
  <c r="H956" i="5" s="1"/>
  <c r="R578" i="5"/>
  <c r="G578" i="5" s="1"/>
  <c r="H578" i="5" s="1"/>
  <c r="R825" i="5"/>
  <c r="G825" i="5" s="1"/>
  <c r="H825" i="5" s="1"/>
  <c r="Q544" i="5"/>
  <c r="Q809" i="5"/>
  <c r="R839" i="5"/>
  <c r="R715" i="5"/>
  <c r="Q912" i="5"/>
  <c r="R861" i="5"/>
  <c r="G861" i="5" s="1"/>
  <c r="H861" i="5" s="1"/>
  <c r="R464" i="5"/>
  <c r="Q566" i="5"/>
  <c r="R938" i="5"/>
  <c r="G938" i="5" s="1"/>
  <c r="R863" i="5"/>
  <c r="G863" i="5" s="1"/>
  <c r="H863" i="5" s="1"/>
  <c r="Q767" i="5"/>
  <c r="Q1016" i="5"/>
  <c r="R896" i="5"/>
  <c r="G896" i="5" s="1"/>
  <c r="H896" i="5" s="1"/>
  <c r="Q468" i="5"/>
  <c r="R570" i="5"/>
  <c r="G570" i="5" s="1"/>
  <c r="H570" i="5" s="1"/>
  <c r="R1028" i="5"/>
  <c r="G1028" i="5" s="1"/>
  <c r="H1028" i="5" s="1"/>
  <c r="R582" i="5"/>
  <c r="G582" i="5" s="1"/>
  <c r="H582" i="5" s="1"/>
  <c r="R952" i="5"/>
  <c r="G952" i="5" s="1"/>
  <c r="H952" i="5" s="1"/>
  <c r="Q769" i="5"/>
  <c r="Q713" i="5"/>
  <c r="G127" i="5"/>
  <c r="H127" i="5" s="1"/>
  <c r="G99" i="5"/>
  <c r="H99" i="5" s="1"/>
  <c r="X1008" i="5"/>
  <c r="X1048" i="5"/>
  <c r="X1050" i="5"/>
  <c r="X1046" i="5"/>
  <c r="X1002" i="5"/>
  <c r="X996" i="5"/>
  <c r="G291" i="5"/>
  <c r="H291" i="5" s="1"/>
  <c r="H45" i="5"/>
  <c r="G103" i="5"/>
  <c r="H103" i="5" s="1"/>
  <c r="H837" i="5"/>
  <c r="R486" i="5"/>
  <c r="G486" i="5" s="1"/>
  <c r="H486" i="5" s="1"/>
  <c r="R434" i="5"/>
  <c r="G434" i="5" s="1"/>
  <c r="H434" i="5" s="1"/>
  <c r="R446" i="5"/>
  <c r="G446" i="5" s="1"/>
  <c r="H446" i="5" s="1"/>
  <c r="H847" i="5"/>
  <c r="G815" i="5"/>
  <c r="H815" i="5" s="1"/>
  <c r="R442" i="5"/>
  <c r="G442" i="5" s="1"/>
  <c r="H442" i="5" s="1"/>
  <c r="H851" i="5"/>
  <c r="G817" i="5"/>
  <c r="H817" i="5" s="1"/>
  <c r="AA1040" i="5"/>
  <c r="AA1042" i="5"/>
  <c r="AA1050" i="5"/>
  <c r="AA1058" i="5"/>
  <c r="AA1038" i="5"/>
  <c r="AA1054" i="5"/>
  <c r="AA1044" i="5"/>
  <c r="AA1052" i="5"/>
  <c r="AA1048" i="5"/>
  <c r="AA1056" i="5"/>
  <c r="AA1008" i="5"/>
  <c r="AA1046" i="5"/>
  <c r="AA992" i="5"/>
  <c r="AA1018" i="5"/>
  <c r="AA1030" i="5"/>
  <c r="AA996" i="5"/>
  <c r="AA1000" i="5"/>
  <c r="AA1010" i="5"/>
  <c r="AA1012" i="5"/>
  <c r="AA1024" i="5"/>
  <c r="AA1022" i="5"/>
  <c r="AA1004" i="5"/>
  <c r="AA1014" i="5"/>
  <c r="AA1028" i="5"/>
  <c r="AA1020" i="5"/>
  <c r="AA1036" i="5"/>
  <c r="AA1032" i="5"/>
  <c r="AA1026" i="5"/>
  <c r="AA998" i="5"/>
  <c r="AA1016" i="5"/>
  <c r="AA994" i="5"/>
  <c r="G994" i="5" s="1"/>
  <c r="AA1002" i="5"/>
  <c r="AA1006" i="5"/>
  <c r="AA1034" i="5"/>
  <c r="AA990" i="5"/>
  <c r="H823" i="5"/>
  <c r="H859" i="5"/>
  <c r="G141" i="5"/>
  <c r="H141" i="5" s="1"/>
  <c r="N287" i="5"/>
  <c r="N297" i="5"/>
  <c r="N325" i="5"/>
  <c r="N343" i="5"/>
  <c r="N339" i="5"/>
  <c r="N307" i="5"/>
  <c r="N315" i="5"/>
  <c r="N327" i="5"/>
  <c r="N309" i="5"/>
  <c r="N311" i="5"/>
  <c r="N289" i="5"/>
  <c r="N303" i="5"/>
  <c r="N305" i="5"/>
  <c r="N291" i="5"/>
  <c r="N341" i="5"/>
  <c r="N319" i="5"/>
  <c r="N323" i="5"/>
  <c r="G159" i="5"/>
  <c r="H159" i="5" s="1"/>
  <c r="G123" i="5"/>
  <c r="H123" i="5" s="1"/>
  <c r="G125" i="5"/>
  <c r="H125" i="5" s="1"/>
  <c r="H869" i="5"/>
  <c r="H865" i="5"/>
  <c r="G121" i="5"/>
  <c r="H121" i="5" s="1"/>
  <c r="H849" i="5"/>
  <c r="H813" i="5"/>
  <c r="H843" i="5"/>
  <c r="G115" i="5"/>
  <c r="H115" i="5" s="1"/>
  <c r="G119" i="5"/>
  <c r="H119" i="5" s="1"/>
  <c r="G105" i="5"/>
  <c r="H105" i="5" s="1"/>
  <c r="H833" i="5"/>
  <c r="G143" i="5"/>
  <c r="H143" i="5" s="1"/>
  <c r="G109" i="5"/>
  <c r="H109" i="5" s="1"/>
  <c r="G107" i="5"/>
  <c r="H107" i="5" s="1"/>
  <c r="G131" i="5"/>
  <c r="H131" i="5" s="1"/>
  <c r="G95" i="5"/>
  <c r="H95" i="5" s="1"/>
  <c r="G139" i="5"/>
  <c r="G153" i="5"/>
  <c r="H153" i="5" s="1"/>
  <c r="G145" i="5"/>
  <c r="H145" i="5" s="1"/>
  <c r="G161" i="5"/>
  <c r="H161" i="5" s="1"/>
  <c r="G157" i="5"/>
  <c r="H157" i="5" s="1"/>
  <c r="G101" i="5"/>
  <c r="H101" i="5" s="1"/>
  <c r="G151" i="5"/>
  <c r="H151" i="5" s="1"/>
  <c r="G135" i="5"/>
  <c r="H135" i="5" s="1"/>
  <c r="G155" i="5"/>
  <c r="H155" i="5" s="1"/>
  <c r="G97" i="5"/>
  <c r="H97" i="5" s="1"/>
  <c r="G163" i="5"/>
  <c r="H163" i="5" s="1"/>
  <c r="G133" i="5"/>
  <c r="H133" i="5" s="1"/>
  <c r="T796" i="5"/>
  <c r="T613" i="5"/>
  <c r="T667" i="5"/>
  <c r="T659" i="5"/>
  <c r="T651" i="5"/>
  <c r="T657" i="5"/>
  <c r="T633" i="5"/>
  <c r="T655" i="5"/>
  <c r="T615" i="5"/>
  <c r="T643" i="5"/>
  <c r="T623" i="5"/>
  <c r="T671" i="5"/>
  <c r="T629" i="5"/>
  <c r="T631" i="5"/>
  <c r="T653" i="5"/>
  <c r="T645" i="5"/>
  <c r="T641" i="5"/>
  <c r="T619" i="5"/>
  <c r="T639" i="5"/>
  <c r="T679" i="5"/>
  <c r="T673" i="5"/>
  <c r="T663" i="5"/>
  <c r="T665" i="5"/>
  <c r="T637" i="5"/>
  <c r="T649" i="5"/>
  <c r="T681" i="5"/>
  <c r="T647" i="5"/>
  <c r="T677" i="5"/>
  <c r="T617" i="5"/>
  <c r="T669" i="5"/>
  <c r="T625" i="5"/>
  <c r="T627" i="5"/>
  <c r="T621" i="5"/>
  <c r="T661" i="5"/>
  <c r="T635" i="5"/>
  <c r="T675" i="5"/>
  <c r="G149" i="5"/>
  <c r="H149" i="5" s="1"/>
  <c r="T498" i="5"/>
  <c r="T436" i="5"/>
  <c r="T494" i="5"/>
  <c r="T454" i="5"/>
  <c r="T452" i="5"/>
  <c r="T490" i="5"/>
  <c r="T474" i="5"/>
  <c r="T464" i="5"/>
  <c r="T482" i="5"/>
  <c r="T440" i="5"/>
  <c r="T476" i="5"/>
  <c r="T480" i="5"/>
  <c r="T432" i="5"/>
  <c r="T486" i="5"/>
  <c r="T470" i="5"/>
  <c r="T458" i="5"/>
  <c r="T442" i="5"/>
  <c r="T468" i="5"/>
  <c r="T472" i="5"/>
  <c r="T450" i="5"/>
  <c r="T478" i="5"/>
  <c r="T456" i="5"/>
  <c r="T488" i="5"/>
  <c r="T434" i="5"/>
  <c r="T460" i="5"/>
  <c r="T430" i="5"/>
  <c r="T438" i="5"/>
  <c r="T444" i="5"/>
  <c r="T484" i="5"/>
  <c r="T446" i="5"/>
  <c r="T448" i="5"/>
  <c r="T492" i="5"/>
  <c r="T466" i="5"/>
  <c r="T496" i="5"/>
  <c r="T462" i="5"/>
  <c r="G129" i="5"/>
  <c r="H129" i="5" s="1"/>
  <c r="T702" i="5"/>
  <c r="T538" i="5"/>
  <c r="T536" i="5"/>
  <c r="T530" i="5"/>
  <c r="T562" i="5"/>
  <c r="T582" i="5"/>
  <c r="T590" i="5"/>
  <c r="T552" i="5"/>
  <c r="T580" i="5"/>
  <c r="T524" i="5"/>
  <c r="T556" i="5"/>
  <c r="T532" i="5"/>
  <c r="T576" i="5"/>
  <c r="T570" i="5"/>
  <c r="T564" i="5"/>
  <c r="T554" i="5"/>
  <c r="T544" i="5"/>
  <c r="T566" i="5"/>
  <c r="T574" i="5"/>
  <c r="T548" i="5"/>
  <c r="T584" i="5"/>
  <c r="T542" i="5"/>
  <c r="T586" i="5"/>
  <c r="T550" i="5"/>
  <c r="T546" i="5"/>
  <c r="T540" i="5"/>
  <c r="T526" i="5"/>
  <c r="T560" i="5"/>
  <c r="T588" i="5"/>
  <c r="T558" i="5"/>
  <c r="T528" i="5"/>
  <c r="T578" i="5"/>
  <c r="T522" i="5"/>
  <c r="T572" i="5"/>
  <c r="T568" i="5"/>
  <c r="T534" i="5"/>
  <c r="G117" i="5"/>
  <c r="H117" i="5" s="1"/>
  <c r="AB998" i="5"/>
  <c r="Y1048" i="5"/>
  <c r="Y1050" i="5"/>
  <c r="Y1020" i="5"/>
  <c r="Y992" i="5"/>
  <c r="Y1056" i="5"/>
  <c r="Y1016" i="5"/>
  <c r="Y1058" i="5"/>
  <c r="Y1046" i="5"/>
  <c r="Y1028" i="5"/>
  <c r="Y998" i="5"/>
  <c r="Y1004" i="5"/>
  <c r="Y1022" i="5"/>
  <c r="Y1010" i="5"/>
  <c r="Y994" i="5"/>
  <c r="Y1002" i="5"/>
  <c r="Y990" i="5"/>
  <c r="Y1000" i="5"/>
  <c r="Y996" i="5"/>
  <c r="Y1042" i="5"/>
  <c r="Y1008" i="5"/>
  <c r="Y1034" i="5"/>
  <c r="Y1014" i="5"/>
  <c r="Y1040" i="5"/>
  <c r="Y1052" i="5"/>
  <c r="Y1044" i="5"/>
  <c r="Y1032" i="5"/>
  <c r="Y1030" i="5"/>
  <c r="Y1054" i="5"/>
  <c r="Y1018" i="5"/>
  <c r="Y1036" i="5"/>
  <c r="Y1038" i="5"/>
  <c r="Y1026" i="5"/>
  <c r="Y1012" i="5"/>
  <c r="Y1024" i="5"/>
  <c r="Y1006" i="5"/>
  <c r="X1034" i="5"/>
  <c r="X1030" i="5"/>
  <c r="X1032" i="5"/>
  <c r="X1006" i="5"/>
  <c r="X1010" i="5"/>
  <c r="X1012" i="5"/>
  <c r="X992" i="5"/>
  <c r="X1028" i="5"/>
  <c r="X1018" i="5"/>
  <c r="X1016" i="5"/>
  <c r="X1020" i="5"/>
  <c r="X1042" i="5"/>
  <c r="X1056" i="5"/>
  <c r="X1026" i="5"/>
  <c r="X1044" i="5"/>
  <c r="X1052" i="5"/>
  <c r="X1014" i="5"/>
  <c r="X1004" i="5"/>
  <c r="X1040" i="5"/>
  <c r="X1058" i="5"/>
  <c r="X998" i="5"/>
  <c r="X990" i="5"/>
  <c r="X1054" i="5"/>
  <c r="X1038" i="5"/>
  <c r="X1000" i="5"/>
  <c r="X1022" i="5"/>
  <c r="X994" i="5"/>
  <c r="G337" i="5"/>
  <c r="H337" i="5" s="1"/>
  <c r="H932" i="5"/>
  <c r="H1032" i="5"/>
  <c r="H1018" i="5"/>
  <c r="G285" i="5"/>
  <c r="H285" i="5" s="1"/>
  <c r="R619" i="5"/>
  <c r="P618" i="5" s="1"/>
  <c r="H994" i="5"/>
  <c r="H970" i="5"/>
  <c r="R659" i="5"/>
  <c r="H1014" i="5"/>
  <c r="H930" i="5"/>
  <c r="H1026" i="5"/>
  <c r="H960" i="5"/>
  <c r="H1030" i="5"/>
  <c r="H990" i="5"/>
  <c r="G321" i="5"/>
  <c r="H321" i="5" s="1"/>
  <c r="H964" i="5"/>
  <c r="S554" i="5"/>
  <c r="S546" i="5"/>
  <c r="S542" i="5"/>
  <c r="S522" i="5"/>
  <c r="S560" i="5"/>
  <c r="S528" i="5"/>
  <c r="S590" i="5"/>
  <c r="S566" i="5"/>
  <c r="S586" i="5"/>
  <c r="S578" i="5"/>
  <c r="S568" i="5"/>
  <c r="S702" i="5"/>
  <c r="S570" i="5"/>
  <c r="S544" i="5"/>
  <c r="S538" i="5"/>
  <c r="S564" i="5"/>
  <c r="S584" i="5"/>
  <c r="S534" i="5"/>
  <c r="S548" i="5"/>
  <c r="S556" i="5"/>
  <c r="S532" i="5"/>
  <c r="S582" i="5"/>
  <c r="S572" i="5"/>
  <c r="S550" i="5"/>
  <c r="S524" i="5"/>
  <c r="S536" i="5"/>
  <c r="S526" i="5"/>
  <c r="S588" i="5"/>
  <c r="S540" i="5"/>
  <c r="S580" i="5"/>
  <c r="S574" i="5"/>
  <c r="S558" i="5"/>
  <c r="S562" i="5"/>
  <c r="S530" i="5"/>
  <c r="S552" i="5"/>
  <c r="S576" i="5"/>
  <c r="Z1046" i="5"/>
  <c r="Z1022" i="5"/>
  <c r="Z1006" i="5"/>
  <c r="Z1000" i="5"/>
  <c r="Z1048" i="5"/>
  <c r="Z1050" i="5"/>
  <c r="Z1002" i="5"/>
  <c r="Z1020" i="5"/>
  <c r="Z1034" i="5"/>
  <c r="Z998" i="5"/>
  <c r="Z1042" i="5"/>
  <c r="Z1028" i="5"/>
  <c r="Z992" i="5"/>
  <c r="Z1024" i="5"/>
  <c r="Z1056" i="5"/>
  <c r="Z1018" i="5"/>
  <c r="Z1036" i="5"/>
  <c r="Z1058" i="5"/>
  <c r="Z996" i="5"/>
  <c r="Z994" i="5"/>
  <c r="Z1040" i="5"/>
  <c r="Z1012" i="5"/>
  <c r="Z1010" i="5"/>
  <c r="Z1008" i="5"/>
  <c r="Z1016" i="5"/>
  <c r="Z1052" i="5"/>
  <c r="Z1014" i="5"/>
  <c r="Z1032" i="5"/>
  <c r="Z1054" i="5"/>
  <c r="AB985" i="5"/>
  <c r="Z1038" i="5"/>
  <c r="Z1044" i="5"/>
  <c r="Z990" i="5"/>
  <c r="AB1022" i="5"/>
  <c r="Z1026" i="5"/>
  <c r="Z1004" i="5"/>
  <c r="Z1030" i="5"/>
  <c r="S643" i="5"/>
  <c r="S633" i="5"/>
  <c r="S615" i="5"/>
  <c r="S679" i="5"/>
  <c r="S631" i="5"/>
  <c r="S645" i="5"/>
  <c r="S625" i="5"/>
  <c r="S653" i="5"/>
  <c r="S673" i="5"/>
  <c r="S649" i="5"/>
  <c r="S641" i="5"/>
  <c r="S681" i="5"/>
  <c r="S675" i="5"/>
  <c r="S621" i="5"/>
  <c r="S796" i="5"/>
  <c r="S635" i="5"/>
  <c r="S661" i="5"/>
  <c r="S667" i="5"/>
  <c r="S619" i="5"/>
  <c r="S613" i="5"/>
  <c r="S617" i="5"/>
  <c r="S669" i="5"/>
  <c r="S657" i="5"/>
  <c r="S665" i="5"/>
  <c r="S655" i="5"/>
  <c r="S637" i="5"/>
  <c r="S659" i="5"/>
  <c r="S651" i="5"/>
  <c r="S663" i="5"/>
  <c r="S639" i="5"/>
  <c r="S623" i="5"/>
  <c r="S677" i="5"/>
  <c r="S629" i="5"/>
  <c r="S671" i="5"/>
  <c r="S647" i="5"/>
  <c r="S627" i="5"/>
  <c r="H966" i="5"/>
  <c r="AB787" i="5"/>
  <c r="AB789" i="5"/>
  <c r="AB788" i="5"/>
  <c r="S484" i="5"/>
  <c r="S486" i="5"/>
  <c r="S456" i="5"/>
  <c r="S440" i="5"/>
  <c r="S458" i="5"/>
  <c r="S460" i="5"/>
  <c r="S498" i="5"/>
  <c r="S492" i="5"/>
  <c r="S446" i="5"/>
  <c r="S432" i="5"/>
  <c r="S480" i="5"/>
  <c r="S476" i="5"/>
  <c r="S496" i="5"/>
  <c r="S436" i="5"/>
  <c r="S466" i="5"/>
  <c r="S444" i="5"/>
  <c r="S454" i="5"/>
  <c r="S438" i="5"/>
  <c r="S464" i="5"/>
  <c r="S478" i="5"/>
  <c r="S430" i="5"/>
  <c r="S470" i="5"/>
  <c r="S490" i="5"/>
  <c r="S482" i="5"/>
  <c r="S494" i="5"/>
  <c r="S462" i="5"/>
  <c r="S448" i="5"/>
  <c r="S434" i="5"/>
  <c r="S442" i="5"/>
  <c r="S488" i="5"/>
  <c r="S468" i="5"/>
  <c r="S472" i="5"/>
  <c r="S450" i="5"/>
  <c r="S474" i="5"/>
  <c r="S452" i="5"/>
  <c r="H898" i="5"/>
  <c r="R627" i="5"/>
  <c r="H962" i="5"/>
  <c r="N665" i="5"/>
  <c r="H902" i="5"/>
  <c r="H906" i="5"/>
  <c r="H1040" i="5"/>
  <c r="H948" i="5"/>
  <c r="H1048" i="5"/>
  <c r="H1004" i="5"/>
  <c r="G333" i="5"/>
  <c r="H333" i="5" s="1"/>
  <c r="G295" i="5"/>
  <c r="H295" i="5" s="1"/>
  <c r="G317" i="5"/>
  <c r="H317" i="5" s="1"/>
  <c r="N651" i="5"/>
  <c r="N663" i="5"/>
  <c r="R663" i="5"/>
  <c r="P662" i="5" s="1"/>
  <c r="N677" i="5"/>
  <c r="R677" i="5"/>
  <c r="G353" i="5"/>
  <c r="H353" i="5" s="1"/>
  <c r="N627" i="5"/>
  <c r="G349" i="5"/>
  <c r="H349" i="5" s="1"/>
  <c r="H936" i="5"/>
  <c r="N671" i="5"/>
  <c r="R671" i="5"/>
  <c r="P670" i="5" s="1"/>
  <c r="H918" i="5"/>
  <c r="H1044" i="5"/>
  <c r="G331" i="5"/>
  <c r="H331" i="5" s="1"/>
  <c r="N615" i="5"/>
  <c r="R615" i="5"/>
  <c r="P614" i="5" s="1"/>
  <c r="N653" i="5"/>
  <c r="R653" i="5"/>
  <c r="H908" i="5"/>
  <c r="R667" i="5"/>
  <c r="N667" i="5"/>
  <c r="R661" i="5"/>
  <c r="P660" i="5" s="1"/>
  <c r="N661" i="5"/>
  <c r="G347" i="5"/>
  <c r="H347" i="5" s="1"/>
  <c r="G351" i="5"/>
  <c r="H351" i="5" s="1"/>
  <c r="G325" i="5"/>
  <c r="H325" i="5" s="1"/>
  <c r="G297" i="5"/>
  <c r="H297" i="5" s="1"/>
  <c r="G323" i="5"/>
  <c r="H323" i="5" s="1"/>
  <c r="G309" i="5"/>
  <c r="H309" i="5" s="1"/>
  <c r="G341" i="5"/>
  <c r="H341" i="5" s="1"/>
  <c r="G339" i="5"/>
  <c r="H339" i="5" s="1"/>
  <c r="G307" i="5"/>
  <c r="H307" i="5" s="1"/>
  <c r="G315" i="5"/>
  <c r="H315" i="5" s="1"/>
  <c r="G327" i="5"/>
  <c r="H327" i="5" s="1"/>
  <c r="G293" i="5"/>
  <c r="G287" i="5"/>
  <c r="H287" i="5" s="1"/>
  <c r="G343" i="5"/>
  <c r="H343" i="5" s="1"/>
  <c r="G311" i="5"/>
  <c r="H311" i="5" s="1"/>
  <c r="G289" i="5"/>
  <c r="H289" i="5" s="1"/>
  <c r="G303" i="5"/>
  <c r="H303" i="5" s="1"/>
  <c r="AB1014" i="5" l="1"/>
  <c r="D29" i="10"/>
  <c r="G550" i="5"/>
  <c r="H550" i="5" s="1"/>
  <c r="G540" i="5"/>
  <c r="H540" i="5" s="1"/>
  <c r="AB1020" i="5"/>
  <c r="AB1018" i="5"/>
  <c r="AB1016" i="5"/>
  <c r="S871" i="5"/>
  <c r="S875" i="5"/>
  <c r="S877" i="5"/>
  <c r="S879" i="5"/>
  <c r="S873" i="5"/>
  <c r="T877" i="5"/>
  <c r="T875" i="5"/>
  <c r="T873" i="5"/>
  <c r="T871" i="5"/>
  <c r="T879" i="5"/>
  <c r="T777" i="5"/>
  <c r="T781" i="5"/>
  <c r="T783" i="5"/>
  <c r="T785" i="5"/>
  <c r="T779" i="5"/>
  <c r="S779" i="5"/>
  <c r="S777" i="5"/>
  <c r="S781" i="5"/>
  <c r="S783" i="5"/>
  <c r="S785" i="5"/>
  <c r="AB882" i="5"/>
  <c r="AB881" i="5"/>
  <c r="P654" i="5"/>
  <c r="H655" i="5" s="1"/>
  <c r="G737" i="5"/>
  <c r="H737" i="5" s="1"/>
  <c r="G934" i="5"/>
  <c r="H934" i="5" s="1"/>
  <c r="G1052" i="5"/>
  <c r="H1052" i="5" s="1"/>
  <c r="G749" i="5"/>
  <c r="H749" i="5" s="1"/>
  <c r="G1016" i="5"/>
  <c r="H1016" i="5" s="1"/>
  <c r="G960" i="5"/>
  <c r="G771" i="5"/>
  <c r="H771" i="5" s="1"/>
  <c r="G1032" i="5"/>
  <c r="G1030" i="5"/>
  <c r="G948" i="5"/>
  <c r="P638" i="5"/>
  <c r="G639" i="5" s="1"/>
  <c r="G910" i="5"/>
  <c r="H910" i="5" s="1"/>
  <c r="G922" i="5"/>
  <c r="H922" i="5" s="1"/>
  <c r="G996" i="5"/>
  <c r="H996" i="5" s="1"/>
  <c r="G759" i="5"/>
  <c r="H759" i="5" s="1"/>
  <c r="G966" i="5"/>
  <c r="G1012" i="5"/>
  <c r="H1012" i="5" s="1"/>
  <c r="G1046" i="5"/>
  <c r="H1046" i="5" s="1"/>
  <c r="G964" i="5"/>
  <c r="G717" i="5"/>
  <c r="H717" i="5" s="1"/>
  <c r="G751" i="5"/>
  <c r="H751" i="5" s="1"/>
  <c r="G851" i="5"/>
  <c r="G906" i="5"/>
  <c r="G962" i="5"/>
  <c r="P644" i="5"/>
  <c r="G645" i="5" s="1"/>
  <c r="G811" i="5"/>
  <c r="H811" i="5" s="1"/>
  <c r="G1034" i="5"/>
  <c r="H1034" i="5" s="1"/>
  <c r="P672" i="5"/>
  <c r="G673" i="5" s="1"/>
  <c r="G1006" i="5"/>
  <c r="H1006" i="5" s="1"/>
  <c r="G926" i="5"/>
  <c r="H926" i="5" s="1"/>
  <c r="G765" i="5"/>
  <c r="H765" i="5" s="1"/>
  <c r="G1008" i="5"/>
  <c r="H1008" i="5" s="1"/>
  <c r="G944" i="5"/>
  <c r="H944" i="5" s="1"/>
  <c r="G1048" i="5"/>
  <c r="P676" i="5"/>
  <c r="G677" i="5" s="1"/>
  <c r="G839" i="5"/>
  <c r="H839" i="5" s="1"/>
  <c r="G845" i="5"/>
  <c r="H845" i="5" s="1"/>
  <c r="G855" i="5"/>
  <c r="H855" i="5" s="1"/>
  <c r="P668" i="5"/>
  <c r="G669" i="5" s="1"/>
  <c r="G920" i="5"/>
  <c r="H920" i="5" s="1"/>
  <c r="G719" i="5"/>
  <c r="H719" i="5" s="1"/>
  <c r="G821" i="5"/>
  <c r="H821" i="5" s="1"/>
  <c r="G847" i="5"/>
  <c r="G1044" i="5"/>
  <c r="G438" i="5"/>
  <c r="D40" i="10" s="1"/>
  <c r="H438" i="5"/>
  <c r="H139" i="5"/>
  <c r="G458" i="5"/>
  <c r="H458" i="5" s="1"/>
  <c r="H645" i="5"/>
  <c r="H619" i="5"/>
  <c r="G619" i="5"/>
  <c r="H629" i="5"/>
  <c r="G629" i="5"/>
  <c r="H665" i="5"/>
  <c r="G665" i="5"/>
  <c r="H647" i="5"/>
  <c r="H615" i="5"/>
  <c r="G615" i="5"/>
  <c r="H639" i="5"/>
  <c r="H661" i="5"/>
  <c r="G661" i="5"/>
  <c r="H677" i="5"/>
  <c r="H623" i="5"/>
  <c r="H627" i="5"/>
  <c r="H667" i="5"/>
  <c r="H659" i="5"/>
  <c r="H673" i="5"/>
  <c r="H653" i="5"/>
  <c r="H671" i="5"/>
  <c r="G671" i="5"/>
  <c r="H663" i="5"/>
  <c r="G663" i="5"/>
  <c r="H669" i="5"/>
  <c r="P630" i="5"/>
  <c r="G631" i="5" s="1"/>
  <c r="G530" i="5"/>
  <c r="H530" i="5" s="1"/>
  <c r="P620" i="5"/>
  <c r="N675" i="5"/>
  <c r="N631" i="5"/>
  <c r="N623" i="5"/>
  <c r="N643" i="5"/>
  <c r="N673" i="5"/>
  <c r="R675" i="5"/>
  <c r="P674" i="5" s="1"/>
  <c r="G478" i="5"/>
  <c r="H478" i="5" s="1"/>
  <c r="N649" i="5"/>
  <c r="G450" i="5"/>
  <c r="H450" i="5" s="1"/>
  <c r="R681" i="5"/>
  <c r="P680" i="5" s="1"/>
  <c r="R649" i="5"/>
  <c r="P648" i="5" s="1"/>
  <c r="N669" i="5"/>
  <c r="G468" i="5"/>
  <c r="H468" i="5" s="1"/>
  <c r="N635" i="5"/>
  <c r="R613" i="5"/>
  <c r="P622" i="5" s="1"/>
  <c r="G623" i="5" s="1"/>
  <c r="R679" i="5"/>
  <c r="P678" i="5" s="1"/>
  <c r="N639" i="5"/>
  <c r="N633" i="5"/>
  <c r="N679" i="5"/>
  <c r="N641" i="5"/>
  <c r="R643" i="5"/>
  <c r="P642" i="5" s="1"/>
  <c r="N621" i="5"/>
  <c r="P632" i="5"/>
  <c r="R625" i="5"/>
  <c r="P624" i="5" s="1"/>
  <c r="N629" i="5"/>
  <c r="N613" i="5"/>
  <c r="R641" i="5"/>
  <c r="R635" i="5"/>
  <c r="P634" i="5" s="1"/>
  <c r="R617" i="5"/>
  <c r="P616" i="5" s="1"/>
  <c r="N645" i="5"/>
  <c r="R637" i="5"/>
  <c r="P636" i="5" s="1"/>
  <c r="N637" i="5"/>
  <c r="N647" i="5"/>
  <c r="R657" i="5"/>
  <c r="P656" i="5" s="1"/>
  <c r="G464" i="5"/>
  <c r="H464" i="5" s="1"/>
  <c r="G448" i="5"/>
  <c r="H448" i="5" s="1"/>
  <c r="G432" i="5"/>
  <c r="H432" i="5" s="1"/>
  <c r="G524" i="5"/>
  <c r="H524" i="5" s="1"/>
  <c r="G522" i="5"/>
  <c r="T773" i="5"/>
  <c r="T759" i="5"/>
  <c r="T717" i="5"/>
  <c r="T757" i="5"/>
  <c r="T761" i="5"/>
  <c r="T747" i="5"/>
  <c r="T749" i="5"/>
  <c r="T775" i="5"/>
  <c r="T707" i="5"/>
  <c r="T767" i="5"/>
  <c r="T719" i="5"/>
  <c r="T765" i="5"/>
  <c r="T735" i="5"/>
  <c r="T743" i="5"/>
  <c r="T737" i="5"/>
  <c r="T763" i="5"/>
  <c r="T755" i="5"/>
  <c r="T733" i="5"/>
  <c r="T715" i="5"/>
  <c r="T711" i="5"/>
  <c r="T741" i="5"/>
  <c r="T771" i="5"/>
  <c r="T731" i="5"/>
  <c r="T709" i="5"/>
  <c r="T729" i="5"/>
  <c r="T753" i="5"/>
  <c r="T713" i="5"/>
  <c r="T723" i="5"/>
  <c r="T751" i="5"/>
  <c r="T769" i="5"/>
  <c r="T725" i="5"/>
  <c r="T739" i="5"/>
  <c r="T745" i="5"/>
  <c r="T721" i="5"/>
  <c r="T727" i="5"/>
  <c r="T889" i="5"/>
  <c r="T853" i="5"/>
  <c r="T841" i="5"/>
  <c r="T827" i="5"/>
  <c r="T805" i="5"/>
  <c r="T851" i="5"/>
  <c r="T813" i="5"/>
  <c r="T855" i="5"/>
  <c r="T833" i="5"/>
  <c r="T803" i="5"/>
  <c r="T847" i="5"/>
  <c r="T863" i="5"/>
  <c r="T865" i="5"/>
  <c r="T819" i="5"/>
  <c r="T825" i="5"/>
  <c r="T815" i="5"/>
  <c r="T843" i="5"/>
  <c r="T831" i="5"/>
  <c r="T801" i="5"/>
  <c r="T811" i="5"/>
  <c r="T817" i="5"/>
  <c r="T845" i="5"/>
  <c r="T809" i="5"/>
  <c r="T849" i="5"/>
  <c r="T859" i="5"/>
  <c r="T823" i="5"/>
  <c r="T861" i="5"/>
  <c r="T807" i="5"/>
  <c r="T835" i="5"/>
  <c r="T867" i="5"/>
  <c r="T869" i="5"/>
  <c r="T839" i="5"/>
  <c r="T837" i="5"/>
  <c r="T821" i="5"/>
  <c r="T857" i="5"/>
  <c r="T829" i="5"/>
  <c r="H293" i="5"/>
  <c r="S769" i="5"/>
  <c r="S733" i="5"/>
  <c r="G733" i="5" s="1"/>
  <c r="H733" i="5" s="1"/>
  <c r="S763" i="5"/>
  <c r="S751" i="5"/>
  <c r="S723" i="5"/>
  <c r="S747" i="5"/>
  <c r="S755" i="5"/>
  <c r="G755" i="5" s="1"/>
  <c r="H755" i="5" s="1"/>
  <c r="S719" i="5"/>
  <c r="S707" i="5"/>
  <c r="S767" i="5"/>
  <c r="S709" i="5"/>
  <c r="S725" i="5"/>
  <c r="S759" i="5"/>
  <c r="S775" i="5"/>
  <c r="S761" i="5"/>
  <c r="S743" i="5"/>
  <c r="S713" i="5"/>
  <c r="S889" i="5"/>
  <c r="S773" i="5"/>
  <c r="S739" i="5"/>
  <c r="S731" i="5"/>
  <c r="S715" i="5"/>
  <c r="G715" i="5" s="1"/>
  <c r="H715" i="5" s="1"/>
  <c r="S727" i="5"/>
  <c r="S737" i="5"/>
  <c r="S745" i="5"/>
  <c r="S749" i="5"/>
  <c r="S717" i="5"/>
  <c r="S735" i="5"/>
  <c r="S721" i="5"/>
  <c r="S771" i="5"/>
  <c r="S741" i="5"/>
  <c r="G741" i="5" s="1"/>
  <c r="H741" i="5" s="1"/>
  <c r="S765" i="5"/>
  <c r="S711" i="5"/>
  <c r="S753" i="5"/>
  <c r="G753" i="5" s="1"/>
  <c r="H753" i="5" s="1"/>
  <c r="S757" i="5"/>
  <c r="S729" i="5"/>
  <c r="S857" i="5"/>
  <c r="S821" i="5"/>
  <c r="S869" i="5"/>
  <c r="S845" i="5"/>
  <c r="S861" i="5"/>
  <c r="S847" i="5"/>
  <c r="S829" i="5"/>
  <c r="G829" i="5" s="1"/>
  <c r="H829" i="5" s="1"/>
  <c r="S807" i="5"/>
  <c r="S867" i="5"/>
  <c r="S843" i="5"/>
  <c r="S837" i="5"/>
  <c r="S853" i="5"/>
  <c r="S827" i="5"/>
  <c r="G827" i="5" s="1"/>
  <c r="H827" i="5" s="1"/>
  <c r="S815" i="5"/>
  <c r="S863" i="5"/>
  <c r="S851" i="5"/>
  <c r="S805" i="5"/>
  <c r="S859" i="5"/>
  <c r="S831" i="5"/>
  <c r="S825" i="5"/>
  <c r="S835" i="5"/>
  <c r="S811" i="5"/>
  <c r="S841" i="5"/>
  <c r="S817" i="5"/>
  <c r="S865" i="5"/>
  <c r="S855" i="5"/>
  <c r="S801" i="5"/>
  <c r="S823" i="5"/>
  <c r="S809" i="5"/>
  <c r="G809" i="5" s="1"/>
  <c r="H809" i="5" s="1"/>
  <c r="S803" i="5"/>
  <c r="S819" i="5"/>
  <c r="S813" i="5"/>
  <c r="S833" i="5"/>
  <c r="S849" i="5"/>
  <c r="G849" i="5" s="1"/>
  <c r="S839" i="5"/>
  <c r="G819" i="5" l="1"/>
  <c r="H819" i="5" s="1"/>
  <c r="G735" i="5"/>
  <c r="G725" i="5"/>
  <c r="H725" i="5" s="1"/>
  <c r="S894" i="5"/>
  <c r="S896" i="5"/>
  <c r="S1066" i="5"/>
  <c r="S1060" i="5"/>
  <c r="S1068" i="5"/>
  <c r="S1064" i="5"/>
  <c r="S1062" i="5"/>
  <c r="T974" i="5"/>
  <c r="T982" i="5"/>
  <c r="T976" i="5"/>
  <c r="T978" i="5"/>
  <c r="T980" i="5"/>
  <c r="S976" i="5"/>
  <c r="S978" i="5"/>
  <c r="S980" i="5"/>
  <c r="S982" i="5"/>
  <c r="S974" i="5"/>
  <c r="G655" i="5"/>
  <c r="P640" i="5"/>
  <c r="G641" i="5" s="1"/>
  <c r="P650" i="5"/>
  <c r="P626" i="5"/>
  <c r="G627" i="5" s="1"/>
  <c r="P666" i="5"/>
  <c r="G667" i="5" s="1"/>
  <c r="P652" i="5"/>
  <c r="G653" i="5" s="1"/>
  <c r="P646" i="5"/>
  <c r="G647" i="5" s="1"/>
  <c r="P658" i="5"/>
  <c r="G659" i="5" s="1"/>
  <c r="H633" i="5"/>
  <c r="G633" i="5"/>
  <c r="H621" i="5"/>
  <c r="G621" i="5"/>
  <c r="H675" i="5"/>
  <c r="G675" i="5"/>
  <c r="H617" i="5"/>
  <c r="G617" i="5"/>
  <c r="H643" i="5"/>
  <c r="G643" i="5"/>
  <c r="H635" i="5"/>
  <c r="G635" i="5"/>
  <c r="H657" i="5"/>
  <c r="G657" i="5"/>
  <c r="H641" i="5"/>
  <c r="H649" i="5"/>
  <c r="G649" i="5"/>
  <c r="H631" i="5"/>
  <c r="H681" i="5"/>
  <c r="G681" i="5"/>
  <c r="H637" i="5"/>
  <c r="G637" i="5"/>
  <c r="H625" i="5"/>
  <c r="G625" i="5"/>
  <c r="H679" i="5"/>
  <c r="G679" i="5"/>
  <c r="P612" i="5"/>
  <c r="G613" i="5" s="1"/>
  <c r="H735" i="5"/>
  <c r="G803" i="5"/>
  <c r="H803" i="5" s="1"/>
  <c r="G709" i="5"/>
  <c r="H709" i="5" s="1"/>
  <c r="H522" i="5"/>
  <c r="T940" i="5"/>
  <c r="T904" i="5"/>
  <c r="T958" i="5"/>
  <c r="T956" i="5"/>
  <c r="T912" i="5"/>
  <c r="T922" i="5"/>
  <c r="T938" i="5"/>
  <c r="T898" i="5"/>
  <c r="T924" i="5"/>
  <c r="T985" i="5"/>
  <c r="T894" i="5"/>
  <c r="T902" i="5"/>
  <c r="T944" i="5"/>
  <c r="T936" i="5"/>
  <c r="T950" i="5"/>
  <c r="T954" i="5"/>
  <c r="T914" i="5"/>
  <c r="T928" i="5"/>
  <c r="T916" i="5"/>
  <c r="T910" i="5"/>
  <c r="T962" i="5"/>
  <c r="T896" i="5"/>
  <c r="T972" i="5"/>
  <c r="T920" i="5"/>
  <c r="T964" i="5"/>
  <c r="T946" i="5"/>
  <c r="T900" i="5"/>
  <c r="T932" i="5"/>
  <c r="D33" i="10" s="1"/>
  <c r="T908" i="5"/>
  <c r="T948" i="5"/>
  <c r="T970" i="5"/>
  <c r="T968" i="5"/>
  <c r="T942" i="5"/>
  <c r="T918" i="5"/>
  <c r="T934" i="5"/>
  <c r="T952" i="5"/>
  <c r="T960" i="5"/>
  <c r="T930" i="5"/>
  <c r="T906" i="5"/>
  <c r="T966" i="5"/>
  <c r="T926" i="5"/>
  <c r="G707" i="5"/>
  <c r="S1024" i="5"/>
  <c r="H1024" i="5" s="1"/>
  <c r="S1040" i="5"/>
  <c r="S1002" i="5"/>
  <c r="S958" i="5"/>
  <c r="S1048" i="5"/>
  <c r="S1050" i="5"/>
  <c r="S996" i="5"/>
  <c r="S962" i="5"/>
  <c r="S934" i="5"/>
  <c r="S906" i="5"/>
  <c r="S914" i="5"/>
  <c r="S1042" i="5"/>
  <c r="S1018" i="5"/>
  <c r="S998" i="5"/>
  <c r="S968" i="5"/>
  <c r="S904" i="5"/>
  <c r="S926" i="5"/>
  <c r="S985" i="5"/>
  <c r="S1052" i="5"/>
  <c r="S1022" i="5"/>
  <c r="S992" i="5"/>
  <c r="S1008" i="5"/>
  <c r="S952" i="5"/>
  <c r="S950" i="5"/>
  <c r="S902" i="5"/>
  <c r="S1020" i="5"/>
  <c r="S1010" i="5"/>
  <c r="S944" i="5"/>
  <c r="S912" i="5"/>
  <c r="H894" i="5"/>
  <c r="S964" i="5"/>
  <c r="S1012" i="5"/>
  <c r="S948" i="5"/>
  <c r="S1036" i="5"/>
  <c r="S1006" i="5"/>
  <c r="S956" i="5"/>
  <c r="S924" i="5"/>
  <c r="S900" i="5"/>
  <c r="S1028" i="5"/>
  <c r="S1000" i="5"/>
  <c r="S920" i="5"/>
  <c r="S938" i="5"/>
  <c r="H938" i="5" s="1"/>
  <c r="S928" i="5"/>
  <c r="S1058" i="5"/>
  <c r="S916" i="5"/>
  <c r="S1034" i="5"/>
  <c r="S910" i="5"/>
  <c r="S922" i="5"/>
  <c r="S966" i="5"/>
  <c r="S994" i="5"/>
  <c r="S940" i="5"/>
  <c r="S1056" i="5"/>
  <c r="S1016" i="5"/>
  <c r="S972" i="5"/>
  <c r="S930" i="5"/>
  <c r="S1046" i="5"/>
  <c r="S990" i="5"/>
  <c r="S1004" i="5"/>
  <c r="S1030" i="5"/>
  <c r="S1038" i="5"/>
  <c r="S1044" i="5"/>
  <c r="S936" i="5"/>
  <c r="S932" i="5"/>
  <c r="S918" i="5"/>
  <c r="S1014" i="5"/>
  <c r="S1026" i="5"/>
  <c r="S942" i="5"/>
  <c r="S960" i="5"/>
  <c r="S946" i="5"/>
  <c r="S898" i="5"/>
  <c r="S1054" i="5"/>
  <c r="S954" i="5"/>
  <c r="S908" i="5"/>
  <c r="S1032" i="5"/>
  <c r="S970" i="5"/>
  <c r="D32" i="10" l="1"/>
  <c r="G932" i="5"/>
  <c r="D41" i="10" s="1"/>
  <c r="T1062" i="5"/>
  <c r="T1066" i="5"/>
  <c r="T1060" i="5"/>
  <c r="T1064" i="5"/>
  <c r="T1068" i="5"/>
  <c r="H651" i="5"/>
  <c r="G651" i="5"/>
  <c r="H613" i="5"/>
  <c r="T1046" i="5"/>
  <c r="T1020" i="5"/>
  <c r="T992" i="5"/>
  <c r="T1058" i="5"/>
  <c r="T1038" i="5"/>
  <c r="T1042" i="5"/>
  <c r="T1026" i="5"/>
  <c r="T994" i="5"/>
  <c r="T1000" i="5"/>
  <c r="T1012" i="5"/>
  <c r="T1054" i="5"/>
  <c r="T1002" i="5"/>
  <c r="T1030" i="5"/>
  <c r="T1018" i="5"/>
  <c r="T990" i="5"/>
  <c r="T1006" i="5"/>
  <c r="T1040" i="5"/>
  <c r="T1056" i="5"/>
  <c r="T1008" i="5"/>
  <c r="T1014" i="5"/>
  <c r="T1036" i="5"/>
  <c r="T1016" i="5"/>
  <c r="T998" i="5"/>
  <c r="T1044" i="5"/>
  <c r="T1034" i="5"/>
  <c r="T1048" i="5"/>
  <c r="T1004" i="5"/>
  <c r="T1032" i="5"/>
  <c r="T1010" i="5"/>
  <c r="T996" i="5"/>
  <c r="T1050" i="5"/>
  <c r="T1024" i="5"/>
  <c r="T1022" i="5"/>
  <c r="T1052" i="5"/>
  <c r="T1028" i="5"/>
  <c r="H707" i="5"/>
  <c r="H928" i="5" l="1"/>
  <c r="D4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408F7F47-EC22-4D38-8F40-51144C963E35}">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<sst xmlns="http://schemas.openxmlformats.org/spreadsheetml/2006/main" count="1838" uniqueCount="314">
  <si>
    <t>Residential</t>
  </si>
  <si>
    <t>Customer</t>
  </si>
  <si>
    <t>Energy Charge</t>
  </si>
  <si>
    <t>kWh</t>
  </si>
  <si>
    <t>Rate</t>
  </si>
  <si>
    <t>Charge</t>
  </si>
  <si>
    <t>1st 500</t>
  </si>
  <si>
    <t>Over 500</t>
  </si>
  <si>
    <t>DSM</t>
  </si>
  <si>
    <t>FAC</t>
  </si>
  <si>
    <t>ACLM</t>
  </si>
  <si>
    <t>ECCR</t>
  </si>
  <si>
    <t>Total</t>
  </si>
  <si>
    <t>Per KWH</t>
  </si>
  <si>
    <t>RS</t>
  </si>
  <si>
    <t>Next 500</t>
  </si>
  <si>
    <t>Over 1000</t>
  </si>
  <si>
    <t>RC</t>
  </si>
  <si>
    <t>RH</t>
  </si>
  <si>
    <t>kW</t>
  </si>
  <si>
    <t>1st 5000</t>
  </si>
  <si>
    <t>Over 5000</t>
  </si>
  <si>
    <t>SS</t>
  </si>
  <si>
    <t>ALL</t>
  </si>
  <si>
    <t>SH</t>
  </si>
  <si>
    <t>Connected</t>
  </si>
  <si>
    <t>Lighting</t>
  </si>
  <si>
    <t>Load</t>
  </si>
  <si>
    <t>Demand</t>
  </si>
  <si>
    <t>SE</t>
  </si>
  <si>
    <t>per KW</t>
  </si>
  <si>
    <t>Energy</t>
  </si>
  <si>
    <t>Demand Charge</t>
  </si>
  <si>
    <t>Power</t>
  </si>
  <si>
    <t>First 500</t>
  </si>
  <si>
    <t xml:space="preserve">Factor </t>
  </si>
  <si>
    <t>SL</t>
  </si>
  <si>
    <t>First 2000</t>
  </si>
  <si>
    <t>Over 2000</t>
  </si>
  <si>
    <t>PL</t>
  </si>
  <si>
    <t>First 4000</t>
  </si>
  <si>
    <t>Over 4000</t>
  </si>
  <si>
    <t>HL1</t>
  </si>
  <si>
    <t>Over Conn.</t>
  </si>
  <si>
    <t>Small C&amp;I</t>
  </si>
  <si>
    <t>Large C&amp;I</t>
  </si>
  <si>
    <t>CR</t>
  </si>
  <si>
    <t>CB</t>
  </si>
  <si>
    <t>UW</t>
  </si>
  <si>
    <t>Power Factor</t>
  </si>
  <si>
    <t>Multiplier</t>
  </si>
  <si>
    <t>Factor</t>
  </si>
  <si>
    <t>PH</t>
  </si>
  <si>
    <t>HL2</t>
  </si>
  <si>
    <t>HL3</t>
  </si>
  <si>
    <t>1st</t>
  </si>
  <si>
    <t>Over</t>
  </si>
  <si>
    <t>Read</t>
  </si>
  <si>
    <t>Check</t>
  </si>
  <si>
    <t>Cycle</t>
  </si>
  <si>
    <t>Regular (+1 workday)</t>
  </si>
  <si>
    <t>Demand (+2 workdays)</t>
  </si>
  <si>
    <t>(a)</t>
  </si>
  <si>
    <t>(b)</t>
  </si>
  <si>
    <t>(c)</t>
  </si>
  <si>
    <t>March</t>
  </si>
  <si>
    <t>June</t>
  </si>
  <si>
    <t>Sept</t>
  </si>
  <si>
    <t>Dec</t>
  </si>
  <si>
    <t>Holidays</t>
  </si>
  <si>
    <t>GP</t>
  </si>
  <si>
    <t>All but FAC &amp; GP</t>
  </si>
  <si>
    <t xml:space="preserve"> 50% GP</t>
  </si>
  <si>
    <t>100% GP</t>
  </si>
  <si>
    <t>February</t>
  </si>
  <si>
    <t>August</t>
  </si>
  <si>
    <t>SRV#</t>
  </si>
  <si>
    <t>Check for 0.0000</t>
  </si>
  <si>
    <t>ACLM rate in Oct</t>
  </si>
  <si>
    <t>CCP-DSM</t>
  </si>
  <si>
    <t>non-opt out</t>
  </si>
  <si>
    <t>Rate HL</t>
  </si>
  <si>
    <t>Jun</t>
  </si>
  <si>
    <t>Jul</t>
  </si>
  <si>
    <t>Aug</t>
  </si>
  <si>
    <t>Sep</t>
  </si>
  <si>
    <t>Oct</t>
  </si>
  <si>
    <t>Nov</t>
  </si>
  <si>
    <t>Jan</t>
  </si>
  <si>
    <t>Feb</t>
  </si>
  <si>
    <t>Mar</t>
  </si>
  <si>
    <t>opt-out 0</t>
  </si>
  <si>
    <t>opt-out 5</t>
  </si>
  <si>
    <t>opt out 0</t>
  </si>
  <si>
    <t>opt out 5</t>
  </si>
  <si>
    <t>(d)</t>
  </si>
  <si>
    <t>opt-out 6</t>
  </si>
  <si>
    <t>pre 7/1/2014</t>
  </si>
  <si>
    <t>eff  1/1/2015</t>
  </si>
  <si>
    <t>eff  1/1/2016</t>
  </si>
  <si>
    <t>opt out 6</t>
  </si>
  <si>
    <t xml:space="preserve"> (no accounts)</t>
  </si>
  <si>
    <t>Apr</t>
  </si>
  <si>
    <t>May</t>
  </si>
  <si>
    <t>CAP</t>
  </si>
  <si>
    <t>OSS</t>
  </si>
  <si>
    <t>RTO</t>
  </si>
  <si>
    <t>opt-out 7</t>
  </si>
  <si>
    <t>eff  1/1/2017</t>
  </si>
  <si>
    <t>SS7</t>
  </si>
  <si>
    <t>SH7</t>
  </si>
  <si>
    <t>SE7</t>
  </si>
  <si>
    <t>SL7</t>
  </si>
  <si>
    <t>PL7</t>
  </si>
  <si>
    <t>opt out 7</t>
  </si>
  <si>
    <t>PH7</t>
  </si>
  <si>
    <t>HL17</t>
  </si>
  <si>
    <t>HL27</t>
  </si>
  <si>
    <t>HL37</t>
  </si>
  <si>
    <t>Rate PL</t>
  </si>
  <si>
    <t>HL18</t>
  </si>
  <si>
    <t>opt out 8</t>
  </si>
  <si>
    <t>SS8</t>
  </si>
  <si>
    <t>SH8</t>
  </si>
  <si>
    <t>SE8</t>
  </si>
  <si>
    <t>SL8</t>
  </si>
  <si>
    <t>PL8</t>
  </si>
  <si>
    <t>PH8</t>
  </si>
  <si>
    <t>HL28</t>
  </si>
  <si>
    <t>eff  1/1/2018</t>
  </si>
  <si>
    <t>eff  1/1/2019</t>
  </si>
  <si>
    <t>eff  1/1/2020</t>
  </si>
  <si>
    <t>opt-out 8</t>
  </si>
  <si>
    <t>HL38</t>
  </si>
  <si>
    <t>opt-out 9</t>
  </si>
  <si>
    <t>KW</t>
  </si>
  <si>
    <t>PF</t>
  </si>
  <si>
    <t>Opt-Out 20</t>
  </si>
  <si>
    <t>SS0</t>
  </si>
  <si>
    <t>SS9</t>
  </si>
  <si>
    <t>opt out 9</t>
  </si>
  <si>
    <t>SH9</t>
  </si>
  <si>
    <t>SH0</t>
  </si>
  <si>
    <t>SE9</t>
  </si>
  <si>
    <t>SE0</t>
  </si>
  <si>
    <t>SL9</t>
  </si>
  <si>
    <t>SL0</t>
  </si>
  <si>
    <t>PL9</t>
  </si>
  <si>
    <t>PL0</t>
  </si>
  <si>
    <t>PH9</t>
  </si>
  <si>
    <t>PH0</t>
  </si>
  <si>
    <t>HL19</t>
  </si>
  <si>
    <t>HL10</t>
  </si>
  <si>
    <t>HL29</t>
  </si>
  <si>
    <t>HL20</t>
  </si>
  <si>
    <t>HL39</t>
  </si>
  <si>
    <t>HL30</t>
  </si>
  <si>
    <t>Minimum?</t>
  </si>
  <si>
    <t>25% GP</t>
  </si>
  <si>
    <t>HL48</t>
  </si>
  <si>
    <t>Opt Out 8</t>
  </si>
  <si>
    <t>TDSIC</t>
  </si>
  <si>
    <t>Note:  One month prior</t>
  </si>
  <si>
    <t>Opt-Out 21</t>
  </si>
  <si>
    <t>opt out 1</t>
  </si>
  <si>
    <t>SS1</t>
  </si>
  <si>
    <t>SL1</t>
  </si>
  <si>
    <t>PL1</t>
  </si>
  <si>
    <t>opt-out 1</t>
  </si>
  <si>
    <t>Opt-Out 22</t>
  </si>
  <si>
    <t>Select Rate Code</t>
  </si>
  <si>
    <t>50% GP</t>
  </si>
  <si>
    <t>0% GP</t>
  </si>
  <si>
    <t>10% GP</t>
  </si>
  <si>
    <t>Customer Charge</t>
  </si>
  <si>
    <t>Total Demand</t>
  </si>
  <si>
    <t>Total Energy</t>
  </si>
  <si>
    <t>opt out 2</t>
  </si>
  <si>
    <t>SS2</t>
  </si>
  <si>
    <t>Total Monthly Bill</t>
  </si>
  <si>
    <t>SH1</t>
  </si>
  <si>
    <t>SH2</t>
  </si>
  <si>
    <t>SE1</t>
  </si>
  <si>
    <t>SE2</t>
  </si>
  <si>
    <t>SL2</t>
  </si>
  <si>
    <t>PL2</t>
  </si>
  <si>
    <t>PH1</t>
  </si>
  <si>
    <t>PH2</t>
  </si>
  <si>
    <t>HL4</t>
  </si>
  <si>
    <t>Amount</t>
  </si>
  <si>
    <t>HL11</t>
  </si>
  <si>
    <t>HL12</t>
  </si>
  <si>
    <t>HL21</t>
  </si>
  <si>
    <t>HL22</t>
  </si>
  <si>
    <t>HL31</t>
  </si>
  <si>
    <t>HL32</t>
  </si>
  <si>
    <t>HL47</t>
  </si>
  <si>
    <t>HL49</t>
  </si>
  <si>
    <t>https://www.aesindiana.com/sites/default/files/2022-07/Residential%20Rates_Effective%206-30-22.pdf</t>
  </si>
  <si>
    <t>Residential Links</t>
  </si>
  <si>
    <t>Fuel Adjustment Clause (Rider No. 6)</t>
  </si>
  <si>
    <t>Transmission, Distribution, and Storage System Improvement Charge (Rider No. 3)</t>
  </si>
  <si>
    <t>Green Power Initiative (Rider No. 21)</t>
  </si>
  <si>
    <t>Link to Tariff</t>
  </si>
  <si>
    <t>Demand-Side Management Adjustment (Rider No. 22)</t>
  </si>
  <si>
    <t>Environmental Compliance Cost Recovery Adjustment (Rider No. 20)</t>
  </si>
  <si>
    <t>ECCRA</t>
  </si>
  <si>
    <t>Capacity Adjustment (Rider No. 24)</t>
  </si>
  <si>
    <t>Off-System Sales Margin Adjustment (Rider No. 25)</t>
  </si>
  <si>
    <t>RS, RC, RH</t>
  </si>
  <si>
    <t>C&amp;I Links</t>
  </si>
  <si>
    <t>https://www.aesindiana.com/sites/default/files/2022-07/Rate-UW-Water-Heating--Uncontrolled-Service-Effective-06-30-22.pdf</t>
  </si>
  <si>
    <t>https://www.aesindiana.com/sites/default/files/2022-07/Rate-SS-Secondary-Service--Small-50409-Effective-06-30-22.pdf</t>
  </si>
  <si>
    <t>https://www.aesindiana.com/sites/default/files/2022-07/Rate-SH-Secondary-Service--Electric-Space-Conditioning-Separately-Metered-Effective-06-30-22.pdf</t>
  </si>
  <si>
    <t>https://www.aesindiana.com/sites/default/files/2022-07/Rate-SH-Secondary-Service--Electric-Space-Conditioning-Separately-Metered-Effective-06-30-22.pdf#page=2</t>
  </si>
  <si>
    <t>Total Metered Electric and Other Services</t>
  </si>
  <si>
    <t>https://www.aesindiana.com/sites/default/files/2022-07/Rate-CW-Water-Heating--Controlled-Service-Effective-06-30-22.pdf#page=2</t>
  </si>
  <si>
    <t>https://www.aesindiana.com/sites/default/files/2022-07/Rate-SL-Secondary-Service-Large-50409-Effective-06-30-22.pdf</t>
  </si>
  <si>
    <t>SL (C, D, E)</t>
  </si>
  <si>
    <t>SL (PF)</t>
  </si>
  <si>
    <t>https://www.aesindiana.com/sites/default/files/2022-07/Rate-SL-Secondary-Service-Large-50409-Effective-06-30-22.pdf#page=2</t>
  </si>
  <si>
    <t>PL (C, D, E)</t>
  </si>
  <si>
    <t>PL (PF)</t>
  </si>
  <si>
    <t>https://www.aesindiana.com/sites/default/files/2022-07/Rate-PL-Primary-Service-Large-Effective-06-30-22.pdf</t>
  </si>
  <si>
    <t>https://www.aesindiana.com/sites/default/files/2022-07/Rate-PL-Primary-Service-Large-Effective-06-30-22.pdf#page=2</t>
  </si>
  <si>
    <t>https://www.aesindiana.com/sites/default/files/2022-07/Rate-PH-Process-Heating-Effective-06-30-22.pdf</t>
  </si>
  <si>
    <t>https://www.aesindiana.com/sites/default/files/2022-07/Rate-PH-Process-Heating-Effective-06-30-22.pdf#page=2</t>
  </si>
  <si>
    <t>PH (C, D, E)</t>
  </si>
  <si>
    <t>PH (PF)</t>
  </si>
  <si>
    <t>HL (C,D)</t>
  </si>
  <si>
    <t>HL (E, PF)</t>
  </si>
  <si>
    <t>https://www.aesindiana.com/sites/default/files/2022-07/Rate-HL-High-Load-Factor--Primary-Distrib-Sub-Trans-and-Trans-Voltages-50409-Effective-06-30-22.pdf</t>
  </si>
  <si>
    <t>https://www.aesindiana.com/sites/default/files/2022-07/Rate-HL-High-Load-Factor--Primary-Distrib-Sub-Trans-and-Trans-Voltages-50409-Effective-06-30-22.pdf#page=2</t>
  </si>
  <si>
    <t>Contract Riders</t>
  </si>
  <si>
    <t>INPUT 1</t>
  </si>
  <si>
    <t>INPUT 2</t>
  </si>
  <si>
    <t>INPUT 3</t>
  </si>
  <si>
    <t>INPUT 4</t>
  </si>
  <si>
    <t>INPUT 5</t>
  </si>
  <si>
    <t>INPUT 6</t>
  </si>
  <si>
    <t>INPUT 7</t>
  </si>
  <si>
    <t>Instructions</t>
  </si>
  <si>
    <t>Are you enrolled in AES Indiana's Green Power Initiative?</t>
  </si>
  <si>
    <t>Please select your rate code.</t>
  </si>
  <si>
    <t>HL40</t>
  </si>
  <si>
    <t>HL41</t>
  </si>
  <si>
    <t>HL42</t>
  </si>
  <si>
    <t>State Tax</t>
  </si>
  <si>
    <t>Disclaimer</t>
  </si>
  <si>
    <t>GPI</t>
  </si>
  <si>
    <t>Regional Transmission Organization Adjustment (Rider No. 26)</t>
  </si>
  <si>
    <t>Contact: aesindiana.com, Residential 888-261-8222, Business 317-261-8444</t>
  </si>
  <si>
    <t>Basic Fees and Charges</t>
  </si>
  <si>
    <t>Please enter your billed demand amount (kW, if applicable).</t>
  </si>
  <si>
    <t>Please enter your billed power factor (percentage, if appliable).</t>
  </si>
  <si>
    <t>Please enter your billed connected lighting load (kW, if applicable).</t>
  </si>
  <si>
    <t>Please enter your billed energy usage (kWh).</t>
  </si>
  <si>
    <t>Description (click on charges for explanation)</t>
  </si>
  <si>
    <t>Link to Help</t>
  </si>
  <si>
    <t>Did you opt out of AES Indiana's DSM program (if applicable)?</t>
  </si>
  <si>
    <t>Input Demand</t>
  </si>
  <si>
    <t>Min Demand</t>
  </si>
  <si>
    <t>Billing Period Message</t>
  </si>
  <si>
    <t>Start</t>
  </si>
  <si>
    <t>End</t>
  </si>
  <si>
    <t>Month</t>
  </si>
  <si>
    <t>Message</t>
  </si>
  <si>
    <t>INPUT 8</t>
  </si>
  <si>
    <t>INPUT 9</t>
  </si>
  <si>
    <t>Please enter your billing period information</t>
  </si>
  <si>
    <t>Count</t>
  </si>
  <si>
    <t>You are using the correct bill calculator. Please enter your billing information below.</t>
  </si>
  <si>
    <t>20 Billing Periods</t>
  </si>
  <si>
    <t>Too few days</t>
  </si>
  <si>
    <t>Too many days</t>
  </si>
  <si>
    <t>End before start</t>
  </si>
  <si>
    <t>Billing Period Verification</t>
  </si>
  <si>
    <t>Verification</t>
  </si>
  <si>
    <t>Input your relevant billing information below. Start by entering your billing period in cells D11 and D12. Please use the "INPUT" links or tabs labeled "Help" for reference. For more information, please contact AES Indiana by email using the contact link below.</t>
  </si>
  <si>
    <t>Please enter your billing period start date. (MM/DD/YYYY)</t>
  </si>
  <si>
    <t>Please enter your billing period end date. (MM/DD/YYYY)</t>
  </si>
  <si>
    <t>The dates you entered are incorrect; there are not enough days in the billing period you entered. Please use the "INPUT 1" and "INPUT 2" links for assistance locating the relevant billing period on your bill.</t>
  </si>
  <si>
    <t>The dates you entered are incorrect; there are too many days in the billing period you entered. Please use the "INPUT 1" and "INPUT 2" links for assistance locating the relevant billing period on your bill.</t>
  </si>
  <si>
    <t>The dates you entered are incorrect; the end date is before the start date. Please use the "INPUT 1" and "INPUT 2" links for assistance locating  the relevant billing period on your bill.</t>
  </si>
  <si>
    <t>Date not entered yet</t>
  </si>
  <si>
    <t>Please enter your billing information (click on request for explanation)</t>
  </si>
  <si>
    <t>AES Indiana does not offer a monthly bill calculator for the dates you entered. Please enter your billing period dates for the September 2022 billing cycle. Please use the "INPUT 1" and "INPUT 2" links for assistance locating the relevant billing period on your bill.</t>
  </si>
  <si>
    <t>Not valid bill period</t>
  </si>
  <si>
    <t>Input Total</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</si>
  <si>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</si>
  <si>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</si>
  <si>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</si>
  <si>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Opt-Out 23</t>
  </si>
  <si>
    <t>SH3</t>
  </si>
  <si>
    <t>opt out 3</t>
  </si>
  <si>
    <t>SS3</t>
  </si>
  <si>
    <t>SE3</t>
  </si>
  <si>
    <t>SL3</t>
  </si>
  <si>
    <t>PL3</t>
  </si>
  <si>
    <t>PH3</t>
  </si>
  <si>
    <t>HL13</t>
  </si>
  <si>
    <t>HL33</t>
  </si>
  <si>
    <t>HL43</t>
  </si>
  <si>
    <t>1 Billing Periods</t>
  </si>
  <si>
    <t>The dates you entered are not a valid billing period or not for a period.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</si>
  <si>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</si>
  <si>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</si>
  <si>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</si>
  <si>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</si>
  <si>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</si>
  <si>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</si>
  <si>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July 2023 billing cycle. If valid, please use AES Indiana's July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</si>
  <si>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</si>
  <si>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September 2023 Monthly Bill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</si>
</sst>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6" x14ac:knownFonts="1">
    <font>
      <sz val="10"/>
      <name val="Arial"/>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2"/>
      <name val="Arial"/>
      <family val="2"/>
    </font>
    <font>
      <sz val="10"/>
      <color indexed="8"/>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6.5"/>
      <name val="Arial"/>
      <family val="2"/>
    </font>
  </fonts>
  <fills count="8">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1">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3">
    <xf numFmtId="0" fontId="0"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cellStyleXfs>
  <cellXfs count="263">
    <xf numFmtId="0" fontId="0" fillId="0" borderId="0" xfId="0"/>
    <xf numFmtId="164" fontId="1" fillId="0" borderId="0" xfId="1" applyNumberFormat="1" applyFont="1"/>
    <xf numFmtId="164" fontId="1" fillId="0" borderId="0" xfId="1" applyNumberFormat="1"/>
    <xf numFmtId="0" fontId="4" fillId="0" borderId="0" xfId="0" applyFont="1"/>
    <xf numFmtId="165" fontId="1" fillId="0" borderId="0" xfId="1" applyNumberFormat="1"/>
    <xf numFmtId="166" fontId="5" fillId="0" borderId="0" xfId="1" applyNumberFormat="1" applyFont="1"/>
    <xf numFmtId="167" fontId="5" fillId="0" borderId="0" xfId="1" applyNumberFormat="1" applyFont="1"/>
    <xf numFmtId="165" fontId="5" fillId="0" borderId="0" xfId="1" applyNumberFormat="1" applyFont="1"/>
    <xf numFmtId="43" fontId="5" fillId="0" borderId="0" xfId="1" applyFont="1"/>
    <xf numFmtId="164" fontId="5" fillId="0" borderId="0" xfId="1" applyNumberFormat="1" applyFont="1"/>
    <xf numFmtId="0" fontId="5" fillId="0" borderId="0" xfId="0" applyFont="1"/>
    <xf numFmtId="164" fontId="1"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1" fillId="0" borderId="1" xfId="1" applyNumberFormat="1" applyBorder="1" applyAlignment="1">
      <alignment horizontal="center"/>
    </xf>
    <xf numFmtId="0" fontId="0" fillId="0" borderId="1" xfId="0" applyBorder="1"/>
    <xf numFmtId="43" fontId="6" fillId="0" borderId="0" xfId="1" applyFont="1"/>
    <xf numFmtId="43" fontId="1" fillId="0" borderId="0" xfId="1"/>
    <xf numFmtId="43" fontId="0" fillId="0" borderId="0" xfId="0" applyNumberFormat="1"/>
    <xf numFmtId="167" fontId="0" fillId="0" borderId="0" xfId="0" applyNumberFormat="1"/>
    <xf numFmtId="164" fontId="5" fillId="0" borderId="2" xfId="1" applyNumberFormat="1" applyFont="1" applyBorder="1"/>
    <xf numFmtId="0" fontId="0" fillId="0" borderId="2" xfId="0" applyBorder="1"/>
    <xf numFmtId="43" fontId="6" fillId="0" borderId="2" xfId="1" applyFont="1" applyBorder="1"/>
    <xf numFmtId="43" fontId="1" fillId="0" borderId="2" xfId="1" applyBorder="1"/>
    <xf numFmtId="43" fontId="5" fillId="0" borderId="2" xfId="1" applyFont="1" applyBorder="1"/>
    <xf numFmtId="167" fontId="0" fillId="0" borderId="2" xfId="0" applyNumberFormat="1" applyBorder="1"/>
    <xf numFmtId="165" fontId="6" fillId="0" borderId="0" xfId="1" applyNumberFormat="1" applyFont="1"/>
    <xf numFmtId="167" fontId="6" fillId="0" borderId="0" xfId="1" applyNumberFormat="1" applyFont="1"/>
    <xf numFmtId="164" fontId="1" fillId="0" borderId="2" xfId="1" applyNumberFormat="1" applyBorder="1"/>
    <xf numFmtId="164" fontId="4" fillId="0" borderId="0" xfId="1" applyNumberFormat="1" applyFont="1" applyAlignment="1">
      <alignment horizontal="left"/>
    </xf>
    <xf numFmtId="0" fontId="7" fillId="0" borderId="0" xfId="0" applyFont="1"/>
    <xf numFmtId="0" fontId="4" fillId="0" borderId="2" xfId="0" applyFont="1" applyBorder="1"/>
    <xf numFmtId="164" fontId="1" fillId="0" borderId="1" xfId="1" applyNumberFormat="1" applyFont="1" applyBorder="1" applyAlignment="1">
      <alignment horizontal="center"/>
    </xf>
    <xf numFmtId="43" fontId="5" fillId="0" borderId="0" xfId="1" applyFont="1" applyFill="1"/>
    <xf numFmtId="164" fontId="1" fillId="0" borderId="0" xfId="1" applyNumberFormat="1" applyFont="1" applyAlignment="1">
      <alignment horizontal="center"/>
    </xf>
    <xf numFmtId="164" fontId="1" fillId="0" borderId="0" xfId="1" applyNumberFormat="1" applyBorder="1" applyAlignment="1">
      <alignment horizontal="center"/>
    </xf>
    <xf numFmtId="164" fontId="0" fillId="0" borderId="0" xfId="0" applyNumberFormat="1" applyAlignment="1">
      <alignment horizontal="center"/>
    </xf>
    <xf numFmtId="0" fontId="4" fillId="0" borderId="0" xfId="0" applyFont="1" applyAlignment="1">
      <alignment horizontal="center"/>
    </xf>
    <xf numFmtId="164" fontId="4" fillId="0" borderId="0" xfId="1" applyNumberFormat="1" applyFont="1"/>
    <xf numFmtId="166" fontId="6" fillId="0" borderId="0" xfId="1" applyNumberFormat="1" applyFont="1"/>
    <xf numFmtId="0" fontId="0" fillId="0" borderId="0" xfId="0" applyAlignment="1">
      <alignment horizontal="right"/>
    </xf>
    <xf numFmtId="164" fontId="1" fillId="0" borderId="0" xfId="1" applyNumberFormat="1" applyBorder="1"/>
    <xf numFmtId="43" fontId="5" fillId="0" borderId="0" xfId="1" applyFont="1" applyBorder="1"/>
    <xf numFmtId="43" fontId="1" fillId="0" borderId="0" xfId="1" applyBorder="1"/>
    <xf numFmtId="164" fontId="0" fillId="0" borderId="0" xfId="1" applyNumberFormat="1" applyFont="1" applyBorder="1" applyAlignment="1">
      <alignment horizontal="right"/>
    </xf>
    <xf numFmtId="0" fontId="8" fillId="0" borderId="0" xfId="0" applyFont="1"/>
    <xf numFmtId="168" fontId="0" fillId="0" borderId="0" xfId="0" applyNumberFormat="1"/>
    <xf numFmtId="16" fontId="5" fillId="0" borderId="0" xfId="0" applyNumberFormat="1" applyFont="1"/>
    <xf numFmtId="14" fontId="5" fillId="0" borderId="0" xfId="0" applyNumberFormat="1" applyFont="1"/>
    <xf numFmtId="0" fontId="0" fillId="0" borderId="0" xfId="0" applyAlignment="1">
      <alignment horizontal="left"/>
    </xf>
    <xf numFmtId="9" fontId="5" fillId="0" borderId="0" xfId="17" applyFont="1" applyAlignment="1">
      <alignment horizontal="center"/>
    </xf>
    <xf numFmtId="9" fontId="5" fillId="0" borderId="0" xfId="0" applyNumberFormat="1" applyFont="1" applyAlignment="1">
      <alignment horizontal="center"/>
    </xf>
    <xf numFmtId="43" fontId="10" fillId="0" borderId="0" xfId="1" applyFont="1"/>
    <xf numFmtId="43" fontId="11" fillId="0" borderId="0" xfId="1" applyFont="1"/>
    <xf numFmtId="43" fontId="1" fillId="0" borderId="1" xfId="1" applyFont="1" applyBorder="1" applyAlignment="1">
      <alignment horizontal="left"/>
    </xf>
    <xf numFmtId="0" fontId="10" fillId="0" borderId="0" xfId="1" applyNumberFormat="1" applyFont="1"/>
    <xf numFmtId="0" fontId="6" fillId="0" borderId="0" xfId="0" applyFont="1"/>
    <xf numFmtId="164" fontId="7" fillId="0" borderId="0" xfId="1" applyNumberFormat="1" applyFont="1"/>
    <xf numFmtId="16" fontId="5" fillId="0" borderId="1" xfId="0" applyNumberFormat="1" applyFont="1" applyBorder="1"/>
    <xf numFmtId="168" fontId="0" fillId="0" borderId="1" xfId="0" applyNumberFormat="1" applyBorder="1"/>
    <xf numFmtId="0" fontId="0" fillId="0" borderId="3" xfId="0" applyBorder="1"/>
    <xf numFmtId="0" fontId="7" fillId="0" borderId="4" xfId="0" applyFont="1" applyBorder="1"/>
    <xf numFmtId="0" fontId="0" fillId="0" borderId="5" xfId="0" applyBorder="1"/>
    <xf numFmtId="0" fontId="0" fillId="0" borderId="6" xfId="0" applyBorder="1"/>
    <xf numFmtId="0" fontId="0" fillId="0" borderId="7" xfId="0" applyBorder="1"/>
    <xf numFmtId="1" fontId="0" fillId="0" borderId="6" xfId="0" applyNumberFormat="1" applyBorder="1"/>
    <xf numFmtId="16" fontId="9" fillId="0" borderId="0" xfId="0" applyNumberFormat="1" applyFont="1"/>
    <xf numFmtId="1" fontId="0" fillId="0" borderId="8" xfId="0" applyNumberFormat="1" applyBorder="1"/>
    <xf numFmtId="0" fontId="0" fillId="0" borderId="9" xfId="0" applyBorder="1"/>
    <xf numFmtId="0" fontId="0" fillId="0" borderId="8" xfId="0" applyBorder="1"/>
    <xf numFmtId="167" fontId="7" fillId="0" borderId="0" xfId="0" applyNumberFormat="1" applyFont="1"/>
    <xf numFmtId="0" fontId="7" fillId="0" borderId="7" xfId="0" applyFont="1" applyBorder="1"/>
    <xf numFmtId="168" fontId="17" fillId="0" borderId="0" xfId="0" applyNumberFormat="1" applyFont="1"/>
    <xf numFmtId="0" fontId="7" fillId="0" borderId="0" xfId="0" applyFont="1" applyAlignment="1">
      <alignment horizontal="center"/>
    </xf>
    <xf numFmtId="164" fontId="0" fillId="0" borderId="0" xfId="0" applyNumberFormat="1"/>
    <xf numFmtId="164" fontId="7" fillId="0" borderId="0" xfId="1" applyNumberFormat="1" applyFont="1" applyAlignment="1">
      <alignment horizontal="right"/>
    </xf>
    <xf numFmtId="0" fontId="7" fillId="0" borderId="0" xfId="0" applyFont="1" applyAlignment="1">
      <alignment horizontal="right"/>
    </xf>
    <xf numFmtId="43" fontId="1" fillId="0" borderId="1" xfId="1" applyFont="1" applyBorder="1" applyAlignment="1">
      <alignment horizontal="right"/>
    </xf>
    <xf numFmtId="43" fontId="4" fillId="0" borderId="0" xfId="1" applyFont="1" applyAlignment="1">
      <alignment horizontal="center"/>
    </xf>
    <xf numFmtId="0" fontId="0" fillId="0" borderId="4" xfId="0" applyBorder="1"/>
    <xf numFmtId="0" fontId="7" fillId="0" borderId="1" xfId="0" applyFont="1" applyBorder="1" applyAlignment="1">
      <alignment horizontal="center"/>
    </xf>
    <xf numFmtId="167" fontId="5" fillId="0" borderId="0" xfId="6" applyNumberFormat="1" applyFont="1"/>
    <xf numFmtId="0" fontId="7" fillId="0" borderId="0" xfId="15"/>
    <xf numFmtId="166" fontId="5" fillId="0" borderId="0" xfId="2" applyNumberFormat="1" applyFont="1"/>
    <xf numFmtId="43" fontId="5" fillId="0" borderId="0" xfId="2" applyFont="1"/>
    <xf numFmtId="164" fontId="5" fillId="0" borderId="0" xfId="2" applyNumberFormat="1" applyFont="1"/>
    <xf numFmtId="43" fontId="7" fillId="0" borderId="0" xfId="2"/>
    <xf numFmtId="167" fontId="7" fillId="0" borderId="0" xfId="15" applyNumberFormat="1"/>
    <xf numFmtId="166" fontId="5" fillId="0" borderId="0" xfId="5" applyNumberFormat="1" applyFont="1"/>
    <xf numFmtId="43" fontId="5" fillId="0" borderId="0" xfId="5" applyFont="1"/>
    <xf numFmtId="164" fontId="7" fillId="0" borderId="0" xfId="2" applyNumberFormat="1" applyFont="1"/>
    <xf numFmtId="43" fontId="5" fillId="0" borderId="0" xfId="2" applyFont="1" applyFill="1"/>
    <xf numFmtId="164" fontId="5" fillId="0" borderId="0" xfId="2" applyNumberFormat="1" applyFont="1" applyFill="1"/>
    <xf numFmtId="166" fontId="5" fillId="0" borderId="0" xfId="2" applyNumberFormat="1" applyFont="1" applyFill="1"/>
    <xf numFmtId="164" fontId="0" fillId="0" borderId="0" xfId="1" applyNumberFormat="1" applyFont="1"/>
    <xf numFmtId="0" fontId="4" fillId="0" borderId="2" xfId="0" applyFont="1" applyBorder="1" applyAlignment="1">
      <alignment horizontal="center"/>
    </xf>
    <xf numFmtId="164" fontId="5" fillId="0" borderId="0" xfId="1" applyNumberFormat="1" applyFont="1" applyBorder="1"/>
    <xf numFmtId="164" fontId="7" fillId="0" borderId="0" xfId="1" applyNumberFormat="1" applyFont="1" applyBorder="1" applyAlignment="1">
      <alignment horizontal="center"/>
    </xf>
    <xf numFmtId="43" fontId="1" fillId="0" borderId="0" xfId="1" applyFont="1" applyBorder="1" applyAlignment="1">
      <alignment horizontal="center"/>
    </xf>
    <xf numFmtId="0" fontId="7" fillId="0" borderId="0" xfId="0" applyFont="1" applyAlignment="1">
      <alignment horizontal="right" wrapText="1"/>
    </xf>
    <xf numFmtId="0" fontId="7" fillId="0" borderId="0" xfId="1" applyNumberFormat="1" applyFont="1" applyBorder="1"/>
    <xf numFmtId="43" fontId="6" fillId="0" borderId="0" xfId="1" applyFont="1" applyBorder="1"/>
    <xf numFmtId="43" fontId="0" fillId="0" borderId="0" xfId="0" applyNumberFormat="1" applyAlignment="1">
      <alignment horizontal="right"/>
    </xf>
    <xf numFmtId="43" fontId="1" fillId="0" borderId="0" xfId="1" applyFont="1" applyBorder="1" applyAlignment="1">
      <alignment horizontal="left"/>
    </xf>
    <xf numFmtId="43" fontId="1" fillId="0" borderId="0" xfId="1" applyFont="1" applyBorder="1" applyAlignment="1">
      <alignment horizontal="right"/>
    </xf>
    <xf numFmtId="43" fontId="7" fillId="0" borderId="0" xfId="1" applyFont="1" applyBorder="1"/>
    <xf numFmtId="167" fontId="18" fillId="0" borderId="0" xfId="0" applyNumberFormat="1" applyFont="1"/>
    <xf numFmtId="43" fontId="5" fillId="0" borderId="0" xfId="1" applyFont="1" applyFill="1" applyBorder="1"/>
    <xf numFmtId="43" fontId="11" fillId="0" borderId="0" xfId="1" applyFont="1" applyBorder="1"/>
    <xf numFmtId="0" fontId="6" fillId="0" borderId="0" xfId="15" applyFont="1"/>
    <xf numFmtId="0" fontId="18" fillId="0" borderId="0" xfId="0" applyFont="1"/>
    <xf numFmtId="164" fontId="9" fillId="0" borderId="0" xfId="1" applyNumberFormat="1" applyFont="1" applyFill="1"/>
    <xf numFmtId="164" fontId="1" fillId="0" borderId="0" xfId="1" applyNumberFormat="1" applyFill="1"/>
    <xf numFmtId="43" fontId="1" fillId="0" borderId="0" xfId="1" applyFill="1"/>
    <xf numFmtId="167" fontId="5" fillId="0" borderId="0" xfId="1" applyNumberFormat="1" applyFont="1" applyFill="1" applyBorder="1"/>
    <xf numFmtId="43" fontId="4" fillId="0" borderId="0" xfId="1" applyFont="1" applyBorder="1" applyAlignment="1">
      <alignment horizontal="center"/>
    </xf>
    <xf numFmtId="43" fontId="1" fillId="0" borderId="2" xfId="1" applyFill="1" applyBorder="1"/>
    <xf numFmtId="0" fontId="6" fillId="0" borderId="0" xfId="0" applyFont="1" applyAlignment="1">
      <alignment horizontal="right"/>
    </xf>
    <xf numFmtId="164" fontId="7" fillId="0" borderId="0" xfId="1" applyNumberFormat="1" applyFont="1" applyFill="1" applyBorder="1"/>
    <xf numFmtId="164" fontId="5" fillId="0" borderId="0" xfId="1" applyNumberFormat="1" applyFont="1" applyFill="1" applyBorder="1"/>
    <xf numFmtId="43" fontId="1" fillId="0" borderId="0" xfId="1" applyFill="1" applyBorder="1"/>
    <xf numFmtId="164" fontId="9" fillId="0" borderId="2" xfId="1" applyNumberFormat="1" applyFont="1" applyFill="1" applyBorder="1"/>
    <xf numFmtId="164" fontId="5" fillId="0" borderId="1" xfId="1" applyNumberFormat="1" applyFont="1" applyBorder="1"/>
    <xf numFmtId="43" fontId="5" fillId="0" borderId="1" xfId="1" applyFont="1" applyBorder="1"/>
    <xf numFmtId="164" fontId="7" fillId="0" borderId="2" xfId="1" applyNumberFormat="1" applyFont="1" applyFill="1" applyBorder="1"/>
    <xf numFmtId="167" fontId="5" fillId="0" borderId="0" xfId="1" applyNumberFormat="1" applyFont="1" applyFill="1"/>
    <xf numFmtId="167" fontId="5" fillId="0" borderId="0" xfId="6" applyNumberFormat="1" applyFont="1" applyFill="1"/>
    <xf numFmtId="164" fontId="5" fillId="0" borderId="0" xfId="1" applyNumberFormat="1" applyFont="1" applyFill="1"/>
    <xf numFmtId="164" fontId="9" fillId="0" borderId="0" xfId="1" applyNumberFormat="1" applyFont="1" applyFill="1" applyBorder="1"/>
    <xf numFmtId="43" fontId="6" fillId="0" borderId="0" xfId="1" applyFont="1" applyFill="1" applyBorder="1"/>
    <xf numFmtId="43" fontId="4" fillId="0" borderId="0" xfId="1" applyFont="1" applyFill="1" applyAlignment="1">
      <alignment horizontal="center"/>
    </xf>
    <xf numFmtId="164" fontId="5" fillId="0" borderId="2" xfId="1" applyNumberFormat="1" applyFont="1" applyFill="1" applyBorder="1"/>
    <xf numFmtId="43" fontId="11" fillId="0" borderId="0" xfId="1" applyFont="1" applyFill="1" applyBorder="1"/>
    <xf numFmtId="43" fontId="4" fillId="0" borderId="0" xfId="1" applyFont="1" applyFill="1" applyBorder="1" applyAlignment="1">
      <alignment horizontal="center"/>
    </xf>
    <xf numFmtId="43" fontId="11" fillId="0" borderId="0" xfId="1" applyFont="1" applyFill="1"/>
    <xf numFmtId="43" fontId="6" fillId="0" borderId="0" xfId="1" applyFont="1" applyFill="1"/>
    <xf numFmtId="43" fontId="5" fillId="0" borderId="2" xfId="1" applyFont="1" applyFill="1" applyBorder="1"/>
    <xf numFmtId="43" fontId="11" fillId="0" borderId="2" xfId="1" applyFont="1" applyFill="1" applyBorder="1"/>
    <xf numFmtId="43" fontId="6" fillId="0" borderId="2" xfId="1" applyFont="1" applyFill="1" applyBorder="1"/>
    <xf numFmtId="43" fontId="4" fillId="0" borderId="2" xfId="1" applyFont="1" applyFill="1" applyBorder="1" applyAlignment="1">
      <alignment horizontal="center"/>
    </xf>
    <xf numFmtId="44" fontId="0" fillId="0" borderId="0" xfId="10" applyFont="1"/>
    <xf numFmtId="43" fontId="1" fillId="2" borderId="0" xfId="1" applyFill="1"/>
    <xf numFmtId="167" fontId="6" fillId="2" borderId="0" xfId="1" applyNumberFormat="1" applyFont="1" applyFill="1"/>
    <xf numFmtId="167" fontId="5" fillId="3" borderId="0" xfId="1" applyNumberFormat="1" applyFont="1" applyFill="1"/>
    <xf numFmtId="43" fontId="7" fillId="0" borderId="0" xfId="0" applyNumberFormat="1" applyFont="1" applyAlignment="1">
      <alignment horizontal="center"/>
    </xf>
    <xf numFmtId="167" fontId="5" fillId="0" borderId="0" xfId="2" applyNumberFormat="1" applyFont="1" applyFill="1"/>
    <xf numFmtId="167" fontId="5" fillId="0" borderId="0" xfId="2" applyNumberFormat="1" applyFont="1"/>
    <xf numFmtId="167" fontId="5" fillId="0" borderId="0" xfId="2" applyNumberFormat="1" applyFont="1" applyFill="1" applyBorder="1"/>
    <xf numFmtId="0" fontId="14" fillId="0" borderId="0" xfId="0" applyFont="1"/>
    <xf numFmtId="14" fontId="0" fillId="0" borderId="0" xfId="0" applyNumberFormat="1"/>
    <xf numFmtId="0" fontId="2" fillId="0" borderId="0" xfId="12" applyAlignment="1" applyProtection="1"/>
    <xf numFmtId="164" fontId="1" fillId="0" borderId="2" xfId="1" applyNumberFormat="1" applyFont="1" applyFill="1" applyBorder="1"/>
    <xf numFmtId="164" fontId="1" fillId="0" borderId="0" xfId="1" applyNumberFormat="1" applyFont="1" applyFill="1"/>
    <xf numFmtId="0" fontId="0" fillId="5" borderId="7" xfId="0" applyFill="1" applyBorder="1" applyAlignment="1" applyProtection="1">
      <alignment horizontal="center" vertical="center"/>
      <protection locked="0"/>
    </xf>
    <xf numFmtId="37" fontId="1" fillId="5" borderId="7" xfId="1" applyNumberFormat="1" applyFont="1" applyFill="1" applyBorder="1" applyAlignment="1" applyProtection="1">
      <alignment horizontal="center" vertical="center"/>
      <protection locked="0"/>
    </xf>
    <xf numFmtId="0" fontId="0" fillId="5" borderId="7" xfId="0" applyFill="1" applyBorder="1" applyAlignment="1" applyProtection="1">
      <alignment horizontal="center"/>
      <protection locked="0"/>
    </xf>
    <xf numFmtId="3" fontId="0" fillId="5" borderId="9" xfId="17" applyNumberFormat="1" applyFont="1" applyFill="1" applyBorder="1" applyAlignment="1" applyProtection="1">
      <alignment horizontal="center"/>
      <protection locked="0"/>
    </xf>
    <xf numFmtId="0" fontId="1" fillId="0" borderId="0" xfId="0" applyFont="1"/>
    <xf numFmtId="9" fontId="1" fillId="5" borderId="7" xfId="17" applyFont="1" applyFill="1" applyBorder="1" applyAlignment="1" applyProtection="1">
      <alignment horizontal="center" vertical="center"/>
      <protection locked="0"/>
    </xf>
    <xf numFmtId="14" fontId="1" fillId="0" borderId="0" xfId="0" applyNumberFormat="1" applyFont="1"/>
    <xf numFmtId="17" fontId="1" fillId="0" borderId="0" xfId="0" applyNumberFormat="1" applyFont="1"/>
    <xf numFmtId="14" fontId="0" fillId="0" borderId="6" xfId="0" applyNumberFormat="1" applyBorder="1"/>
    <xf numFmtId="0" fontId="1"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1" fillId="0" borderId="1" xfId="0" applyFont="1" applyBorder="1" applyAlignment="1">
      <alignment horizontal="center"/>
    </xf>
    <xf numFmtId="0" fontId="1" fillId="0" borderId="1" xfId="0" applyFont="1" applyBorder="1"/>
    <xf numFmtId="0" fontId="1" fillId="0" borderId="19" xfId="0" applyFont="1" applyBorder="1"/>
    <xf numFmtId="0" fontId="1" fillId="0" borderId="20" xfId="0" applyFont="1" applyBorder="1"/>
    <xf numFmtId="164" fontId="7" fillId="0" borderId="0" xfId="1" applyNumberFormat="1" applyFont="1" applyBorder="1"/>
    <xf numFmtId="164" fontId="7" fillId="0" borderId="2" xfId="1" applyNumberFormat="1" applyFont="1" applyBorder="1"/>
    <xf numFmtId="0" fontId="1" fillId="0" borderId="0" xfId="0" applyFont="1" applyAlignment="1">
      <alignment horizontal="center"/>
    </xf>
    <xf numFmtId="0" fontId="0" fillId="0" borderId="10" xfId="0" applyBorder="1" applyProtection="1">
      <protection hidden="1"/>
    </xf>
    <xf numFmtId="0" fontId="19" fillId="4" borderId="10" xfId="0" applyFont="1" applyFill="1" applyBorder="1" applyAlignment="1" applyProtection="1">
      <alignment horizontal="center" vertical="center" wrapText="1"/>
      <protection hidden="1"/>
    </xf>
    <xf numFmtId="0" fontId="19" fillId="4" borderId="13" xfId="0" applyFont="1" applyFill="1" applyBorder="1" applyAlignment="1" applyProtection="1">
      <alignment horizontal="center" vertical="center" wrapText="1"/>
      <protection hidden="1"/>
    </xf>
    <xf numFmtId="0" fontId="2"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2" fillId="0" borderId="0" xfId="12" applyFont="1" applyBorder="1" applyAlignment="1" applyProtection="1">
      <alignment horizontal="center"/>
      <protection hidden="1"/>
    </xf>
    <xf numFmtId="0" fontId="22"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7" xfId="10" applyFont="1" applyBorder="1" applyAlignment="1" applyProtection="1">
      <alignment horizontal="left" indent="2"/>
      <protection hidden="1"/>
    </xf>
    <xf numFmtId="44" fontId="0" fillId="0" borderId="12" xfId="0" applyNumberFormat="1" applyBorder="1" applyAlignment="1" applyProtection="1">
      <alignment horizontal="left" indent="2"/>
      <protection hidden="1"/>
    </xf>
    <xf numFmtId="0" fontId="4" fillId="0" borderId="1" xfId="0" applyFont="1" applyBorder="1" applyProtection="1">
      <protection hidden="1"/>
    </xf>
    <xf numFmtId="44" fontId="4" fillId="0" borderId="9" xfId="0" applyNumberFormat="1" applyFont="1" applyBorder="1" applyProtection="1">
      <protection hidden="1"/>
    </xf>
    <xf numFmtId="44" fontId="1" fillId="0" borderId="5" xfId="0" applyNumberFormat="1" applyFont="1" applyBorder="1" applyProtection="1">
      <protection hidden="1"/>
    </xf>
    <xf numFmtId="44" fontId="4" fillId="0" borderId="0" xfId="0" applyNumberFormat="1" applyFont="1" applyProtection="1">
      <protection hidden="1"/>
    </xf>
    <xf numFmtId="0" fontId="2" fillId="0" borderId="6" xfId="12" applyBorder="1" applyAlignment="1" applyProtection="1">
      <alignment horizontal="center"/>
      <protection hidden="1"/>
    </xf>
    <xf numFmtId="0" fontId="2" fillId="0" borderId="8" xfId="12" applyBorder="1" applyAlignment="1" applyProtection="1">
      <alignment horizontal="center"/>
      <protection hidden="1"/>
    </xf>
    <xf numFmtId="0" fontId="19" fillId="4" borderId="11" xfId="0" applyFont="1" applyFill="1" applyBorder="1" applyAlignment="1" applyProtection="1">
      <alignment vertical="top" wrapText="1"/>
      <protection hidden="1"/>
    </xf>
    <xf numFmtId="0" fontId="22" fillId="0" borderId="6" xfId="12" applyFont="1" applyBorder="1" applyAlignment="1" applyProtection="1">
      <alignment horizontal="center"/>
      <protection hidden="1"/>
    </xf>
    <xf numFmtId="0" fontId="1" fillId="0" borderId="0" xfId="0" applyFont="1" applyAlignment="1" applyProtection="1">
      <alignment horizontal="center"/>
      <protection hidden="1"/>
    </xf>
    <xf numFmtId="0" fontId="1" fillId="0" borderId="0" xfId="0" applyFont="1" applyAlignment="1" applyProtection="1">
      <alignment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1" fillId="0" borderId="6" xfId="0" applyFont="1" applyBorder="1" applyAlignment="1" applyProtection="1">
      <alignment horizontal="left" indent="4"/>
      <protection hidden="1"/>
    </xf>
    <xf numFmtId="0" fontId="7" fillId="0" borderId="0" xfId="0" applyFont="1" applyAlignment="1" applyProtection="1">
      <alignment horizontal="left" indent="4"/>
      <protection hidden="1"/>
    </xf>
    <xf numFmtId="0" fontId="7" fillId="0" borderId="6" xfId="0" applyFont="1" applyBorder="1" applyAlignment="1" applyProtection="1">
      <alignment horizontal="left" indent="4"/>
      <protection hidden="1"/>
    </xf>
    <xf numFmtId="0" fontId="1" fillId="0" borderId="6" xfId="0" applyFont="1" applyBorder="1" applyAlignment="1" applyProtection="1">
      <alignment horizontal="left" indent="2"/>
      <protection hidden="1"/>
    </xf>
    <xf numFmtId="0" fontId="7" fillId="0" borderId="0" xfId="0" applyFont="1" applyAlignment="1" applyProtection="1">
      <alignment horizontal="left" indent="2"/>
      <protection hidden="1"/>
    </xf>
    <xf numFmtId="0" fontId="4" fillId="0" borderId="8" xfId="0" applyFont="1" applyBorder="1" applyAlignment="1" applyProtection="1">
      <alignment horizontal="left"/>
      <protection hidden="1"/>
    </xf>
    <xf numFmtId="0" fontId="4" fillId="0" borderId="1" xfId="0" applyFont="1" applyBorder="1" applyAlignment="1" applyProtection="1">
      <alignment horizontal="left"/>
      <protection hidden="1"/>
    </xf>
    <xf numFmtId="0" fontId="19" fillId="4" borderId="11" xfId="0" applyFont="1" applyFill="1" applyBorder="1" applyAlignment="1" applyProtection="1">
      <alignment horizontal="center" vertical="top" wrapText="1"/>
      <protection hidden="1"/>
    </xf>
    <xf numFmtId="0" fontId="19" fillId="4" borderId="10" xfId="0" applyFont="1" applyFill="1" applyBorder="1" applyAlignment="1" applyProtection="1">
      <alignment horizontal="center" vertical="top" wrapText="1"/>
      <protection hidden="1"/>
    </xf>
    <xf numFmtId="0" fontId="19" fillId="4" borderId="13" xfId="0" applyFont="1" applyFill="1" applyBorder="1" applyAlignment="1" applyProtection="1">
      <alignment horizontal="center" vertical="top" wrapText="1"/>
      <protection hidden="1"/>
    </xf>
    <xf numFmtId="0" fontId="4" fillId="0" borderId="6"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7" xfId="0" applyFont="1" applyBorder="1" applyAlignment="1" applyProtection="1">
      <alignment horizontal="left"/>
      <protection hidden="1"/>
    </xf>
    <xf numFmtId="0" fontId="3" fillId="0" borderId="3" xfId="0" applyFont="1" applyBorder="1" applyAlignment="1" applyProtection="1">
      <alignment horizontal="left"/>
      <protection hidden="1"/>
    </xf>
    <xf numFmtId="0" fontId="3" fillId="0" borderId="4" xfId="0" applyFont="1" applyBorder="1" applyAlignment="1" applyProtection="1">
      <alignment horizontal="left"/>
      <protection hidden="1"/>
    </xf>
    <xf numFmtId="0" fontId="3" fillId="0" borderId="8" xfId="0" applyFont="1" applyBorder="1" applyAlignment="1" applyProtection="1">
      <alignment horizontal="left"/>
      <protection hidden="1"/>
    </xf>
    <xf numFmtId="0" fontId="3" fillId="0" borderId="1" xfId="0" applyFont="1" applyBorder="1" applyAlignment="1" applyProtection="1">
      <alignment horizontal="left"/>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1" fillId="0" borderId="0" xfId="0" applyFont="1" applyAlignment="1" applyProtection="1">
      <alignment horizontal="left" wrapText="1"/>
      <protection hidden="1"/>
    </xf>
    <xf numFmtId="0" fontId="1" fillId="0" borderId="1" xfId="0" applyFont="1" applyBorder="1" applyAlignment="1" applyProtection="1">
      <alignment horizontal="left" vertical="center"/>
      <protection hidden="1"/>
    </xf>
    <xf numFmtId="0" fontId="1" fillId="0" borderId="0" xfId="0" applyFont="1" applyAlignment="1" applyProtection="1">
      <alignment horizontal="left"/>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4" xfId="0" applyFont="1" applyBorder="1" applyAlignment="1" applyProtection="1">
      <alignment horizontal="left"/>
      <protection hidden="1"/>
    </xf>
    <xf numFmtId="0" fontId="23" fillId="0" borderId="0" xfId="0" applyFont="1" applyAlignment="1" applyProtection="1">
      <alignment horizontal="left" vertical="center" wrapText="1" indent="17"/>
      <protection hidden="1"/>
    </xf>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4" fillId="0" borderId="6" xfId="0" applyFont="1" applyBorder="1" applyAlignment="1" applyProtection="1">
      <alignment horizontal="left" indent="2"/>
      <protection hidden="1"/>
    </xf>
    <xf numFmtId="0" fontId="4" fillId="0" borderId="0" xfId="0" applyFont="1" applyAlignment="1" applyProtection="1">
      <alignment horizontal="left" indent="2"/>
      <protection hidden="1"/>
    </xf>
    <xf numFmtId="0" fontId="1" fillId="0" borderId="6" xfId="0" applyFont="1" applyBorder="1" applyAlignment="1" applyProtection="1">
      <alignment horizontal="left" wrapText="1" indent="4"/>
      <protection hidden="1"/>
    </xf>
    <xf numFmtId="0" fontId="7" fillId="0" borderId="0" xfId="0" applyFont="1" applyAlignment="1" applyProtection="1">
      <alignment horizontal="left" wrapText="1" indent="4"/>
      <protection hidden="1"/>
    </xf>
    <xf numFmtId="0" fontId="7" fillId="0" borderId="6" xfId="0" applyFont="1" applyBorder="1" applyAlignment="1" applyProtection="1">
      <alignment horizontal="left" wrapText="1" indent="4"/>
      <protection hidden="1"/>
    </xf>
    <xf numFmtId="0" fontId="0" fillId="0" borderId="0" xfId="0" applyAlignment="1" applyProtection="1">
      <alignment horizontal="center"/>
      <protection locked="0"/>
    </xf>
    <xf numFmtId="0" fontId="4" fillId="0" borderId="2"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1" fillId="0" borderId="17" xfId="0" applyFont="1" applyBorder="1" applyAlignment="1">
      <alignment horizontal="center"/>
    </xf>
    <xf numFmtId="0" fontId="0" fillId="0" borderId="1" xfId="0" applyBorder="1" applyAlignment="1">
      <alignment horizontal="center"/>
    </xf>
    <xf numFmtId="164" fontId="4" fillId="6" borderId="14" xfId="1" applyNumberFormat="1" applyFont="1" applyFill="1" applyBorder="1" applyAlignment="1">
      <alignment horizontal="center"/>
    </xf>
    <xf numFmtId="164" fontId="4" fillId="6" borderId="15" xfId="1" applyNumberFormat="1" applyFont="1" applyFill="1" applyBorder="1" applyAlignment="1">
      <alignment horizontal="center"/>
    </xf>
    <xf numFmtId="164" fontId="4" fillId="6" borderId="16" xfId="1" applyNumberFormat="1" applyFont="1" applyFill="1" applyBorder="1" applyAlignment="1">
      <alignment horizontal="center"/>
    </xf>
    <xf numFmtId="0" fontId="0" fillId="0" borderId="0" xfId="0" applyAlignment="1">
      <alignment horizontal="center"/>
    </xf>
    <xf numFmtId="43" fontId="1" fillId="0" borderId="0" xfId="1" applyFont="1" applyBorder="1" applyAlignment="1">
      <alignment horizontal="center"/>
    </xf>
    <xf numFmtId="43" fontId="0" fillId="0" borderId="0" xfId="0" applyNumberFormat="1" applyAlignment="1">
      <alignment horizontal="right"/>
    </xf>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omma 4" xfId="5" xr:uid="{00000000-0005-0000-0000-000004000000}"/>
    <cellStyle name="Comma 5" xfId="6" xr:uid="{00000000-0005-0000-0000-000005000000}"/>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50">
    <dxf>
      <font>
        <color theme="0"/>
      </font>
    </dxf>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rgb="FF16A837"/>
        </patternFill>
      </fill>
    </dxf>
    <dxf>
      <fill>
        <patternFill>
          <bgColor theme="5"/>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6A837"/>
      <color rgb="FF1FAF59"/>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126995</xdr:rowOff>
    </xdr:from>
    <xdr:to>
      <xdr:col>3</xdr:col>
      <xdr:colOff>1470591</xdr:colOff>
      <xdr:row>3</xdr:row>
      <xdr:rowOff>19289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018"/>
          <a:ext cx="6830568" cy="4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9" dataDxfId="48">
  <autoFilter ref="B2:B18" xr:uid="{00000000-0009-0000-0100-000001000000}"/>
  <tableColumns count="1">
    <tableColumn id="1" xr3:uid="{00000000-0010-0000-0000-000001000000}" name="Select Rate Code" dataDxfId="4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default/files/2022-10/Rider_26_RTO-6_Effective_10-31-2022.pdf" TargetMode="External"/><Relationship Id="rId13" Type="http://schemas.openxmlformats.org/officeDocument/2006/relationships/comments" Target="../comments1.xml"/><Relationship Id="rId3" Type="http://schemas.openxmlformats.org/officeDocument/2006/relationships/hyperlink" Target="https://www.aesindiana.com/sites/default/files/2022-10/Rider_3_TDSIC-5_Effective_10-31-2022.pdf" TargetMode="External"/><Relationship Id="rId7" Type="http://schemas.openxmlformats.org/officeDocument/2006/relationships/hyperlink" Target="https://www.aesindiana.com/sites/default/files/2022-07/Rider-25-OSS-6-44795-Effective-06-30-2022.pdf" TargetMode="External"/><Relationship Id="rId12" Type="http://schemas.openxmlformats.org/officeDocument/2006/relationships/vmlDrawing" Target="../drawings/vmlDrawing1.vml"/><Relationship Id="rId2" Type="http://schemas.openxmlformats.org/officeDocument/2006/relationships/hyperlink" Target="https://www.aesindiana.com/sites/default/files/2022-11/Rider-6-FAC-137-38703-Effective-11-30-22.pdf" TargetMode="External"/><Relationship Id="rId1" Type="http://schemas.openxmlformats.org/officeDocument/2006/relationships/hyperlink" Target="https://www.aesindiana.com/sites/default/files/2022-08/Rider-21_GPR-15_44121_Effective_08-30-2022.pdf" TargetMode="External"/><Relationship Id="rId6" Type="http://schemas.openxmlformats.org/officeDocument/2006/relationships/hyperlink" Target="https://www.aesindiana.com/sites/default/files/2022-07/Rider-24-CAP-6-44795-Effective-6-30-2022.pdf" TargetMode="External"/><Relationship Id="rId11" Type="http://schemas.openxmlformats.org/officeDocument/2006/relationships/drawing" Target="../drawings/drawing1.xml"/><Relationship Id="rId5" Type="http://schemas.openxmlformats.org/officeDocument/2006/relationships/hyperlink" Target="https://www.aesindiana.com/sites/default/files/2022-07/Rider-20-ECR-35-50409-Effective-6-30-22.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default/files/2023-01/Rider-22-DSM-22-43623-Effective-12-30-22.pdf" TargetMode="External"/><Relationship Id="rId9" Type="http://schemas.openxmlformats.org/officeDocument/2006/relationships/hyperlink" Target="https://www.aesindiana.com/contact-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2"/>
  <sheetViews>
    <sheetView showGridLines="0" tabSelected="1" view="pageBreakPreview" zoomScale="110" zoomScaleNormal="100" zoomScaleSheetLayoutView="110" workbookViewId="0">
      <selection activeCell="D11" sqref="D11"/>
    </sheetView>
  </sheetViews>
  <sheetFormatPr defaultRowHeight="12.5" x14ac:dyDescent="0.25"/>
  <cols>
    <col min="1" max="1" width="11.81640625" customWidth="1"/>
    <col min="2" max="2" width="56.54296875" customWidth="1"/>
    <col min="3" max="3" width="12" customWidth="1"/>
    <col min="4" max="4" width="22.1796875" customWidth="1"/>
    <col min="6" max="6" width="8.81640625" bestFit="1" customWidth="1"/>
  </cols>
  <sheetData>
    <row r="1" spans="1:4" ht="15.75" customHeight="1" x14ac:dyDescent="0.25">
      <c r="A1" s="182"/>
      <c r="B1" s="243" t="str">
        <f>'Calc-Sep. 23 Current'!B2</f>
        <v>September 2023 Monthly Bill Calculator</v>
      </c>
      <c r="C1" s="243"/>
      <c r="D1" s="243"/>
    </row>
    <row r="2" spans="1:4" ht="12.65" customHeight="1" x14ac:dyDescent="0.25">
      <c r="A2" s="182"/>
      <c r="B2" s="243"/>
      <c r="C2" s="243"/>
      <c r="D2" s="243"/>
    </row>
    <row r="3" spans="1:4" ht="12.65" customHeight="1" x14ac:dyDescent="0.25">
      <c r="A3" s="182"/>
      <c r="B3" s="243"/>
      <c r="C3" s="243"/>
      <c r="D3" s="243"/>
    </row>
    <row r="4" spans="1:4" x14ac:dyDescent="0.25">
      <c r="A4" s="182"/>
      <c r="B4" s="182"/>
      <c r="C4" s="182"/>
      <c r="D4" s="182"/>
    </row>
    <row r="5" spans="1:4" ht="12.75" customHeight="1" x14ac:dyDescent="0.25">
      <c r="A5" s="224" t="s">
        <v>241</v>
      </c>
      <c r="B5" s="225"/>
      <c r="C5" s="225"/>
      <c r="D5" s="226"/>
    </row>
    <row r="6" spans="1:4" ht="12.65" customHeight="1" x14ac:dyDescent="0.25">
      <c r="A6" s="227" t="s">
        <v>278</v>
      </c>
      <c r="B6" s="228"/>
      <c r="C6" s="228"/>
      <c r="D6" s="229"/>
    </row>
    <row r="7" spans="1:4" x14ac:dyDescent="0.25">
      <c r="A7" s="230"/>
      <c r="B7" s="231"/>
      <c r="C7" s="231"/>
      <c r="D7" s="232"/>
    </row>
    <row r="8" spans="1:4" x14ac:dyDescent="0.25">
      <c r="A8" s="204" t="s">
        <v>251</v>
      </c>
      <c r="B8" s="205"/>
      <c r="C8" s="205"/>
      <c r="D8" s="206"/>
    </row>
    <row r="9" spans="1:4" x14ac:dyDescent="0.25">
      <c r="A9" s="193"/>
      <c r="B9" s="194"/>
      <c r="C9" s="194"/>
      <c r="D9" s="194"/>
    </row>
    <row r="10" spans="1:4" ht="12.65" customHeight="1" x14ac:dyDescent="0.25">
      <c r="A10" s="191" t="s">
        <v>258</v>
      </c>
      <c r="B10" s="215" t="s">
        <v>269</v>
      </c>
      <c r="C10" s="215"/>
      <c r="D10" s="216"/>
    </row>
    <row r="11" spans="1:4" x14ac:dyDescent="0.25">
      <c r="A11" s="192" t="s">
        <v>234</v>
      </c>
      <c r="B11" s="242" t="s">
        <v>279</v>
      </c>
      <c r="C11" s="242"/>
      <c r="D11" s="164"/>
    </row>
    <row r="12" spans="1:4" x14ac:dyDescent="0.25">
      <c r="A12" s="192" t="s">
        <v>235</v>
      </c>
      <c r="B12" s="235" t="s">
        <v>280</v>
      </c>
      <c r="C12" s="235"/>
      <c r="D12" s="163"/>
    </row>
    <row r="13" spans="1:4" ht="12.65" customHeight="1" x14ac:dyDescent="0.25">
      <c r="A13" s="236">
        <f>VLOOKUP("X",Inputs!C32:L60,9,FALSE)</f>
        <v>0</v>
      </c>
      <c r="B13" s="237"/>
      <c r="C13" s="237"/>
      <c r="D13" s="238"/>
    </row>
    <row r="14" spans="1:4" x14ac:dyDescent="0.25">
      <c r="A14" s="239"/>
      <c r="B14" s="240"/>
      <c r="C14" s="240"/>
      <c r="D14" s="241"/>
    </row>
    <row r="15" spans="1:4" x14ac:dyDescent="0.25">
      <c r="A15" s="182"/>
      <c r="B15" s="182"/>
      <c r="C15" s="182"/>
      <c r="D15" s="182"/>
    </row>
    <row r="16" spans="1:4" ht="12.75" customHeight="1" x14ac:dyDescent="0.25">
      <c r="A16" s="191" t="s">
        <v>258</v>
      </c>
      <c r="B16" s="215" t="s">
        <v>285</v>
      </c>
      <c r="C16" s="215"/>
      <c r="D16" s="216"/>
    </row>
    <row r="17" spans="1:6" x14ac:dyDescent="0.25">
      <c r="A17" s="189" t="s">
        <v>236</v>
      </c>
      <c r="B17" s="235" t="s">
        <v>243</v>
      </c>
      <c r="C17" s="235"/>
      <c r="D17" s="162" t="s">
        <v>170</v>
      </c>
    </row>
    <row r="18" spans="1:6" ht="12.75" customHeight="1" x14ac:dyDescent="0.25">
      <c r="A18" s="189" t="s">
        <v>237</v>
      </c>
      <c r="B18" s="233" t="s">
        <v>242</v>
      </c>
      <c r="C18" s="233"/>
      <c r="D18" s="153" t="s">
        <v>309</v>
      </c>
    </row>
    <row r="19" spans="1:6" x14ac:dyDescent="0.25">
      <c r="A19" s="189" t="s">
        <v>238</v>
      </c>
      <c r="B19" s="233" t="s">
        <v>256</v>
      </c>
      <c r="C19" s="233"/>
      <c r="D19" s="154"/>
    </row>
    <row r="20" spans="1:6" x14ac:dyDescent="0.25">
      <c r="A20" s="189" t="s">
        <v>239</v>
      </c>
      <c r="B20" s="233" t="s">
        <v>259</v>
      </c>
      <c r="C20" s="233"/>
      <c r="D20" s="155" t="s">
        <v>309</v>
      </c>
    </row>
    <row r="21" spans="1:6" x14ac:dyDescent="0.25">
      <c r="A21" s="189" t="s">
        <v>240</v>
      </c>
      <c r="B21" s="235" t="s">
        <v>253</v>
      </c>
      <c r="C21" s="235"/>
      <c r="D21" s="154"/>
    </row>
    <row r="22" spans="1:6" ht="12.75" customHeight="1" x14ac:dyDescent="0.25">
      <c r="A22" s="189" t="s">
        <v>267</v>
      </c>
      <c r="B22" s="233" t="s">
        <v>254</v>
      </c>
      <c r="C22" s="233"/>
      <c r="D22" s="158"/>
    </row>
    <row r="23" spans="1:6" ht="13.5" customHeight="1" x14ac:dyDescent="0.25">
      <c r="A23" s="190" t="s">
        <v>268</v>
      </c>
      <c r="B23" s="234" t="s">
        <v>255</v>
      </c>
      <c r="C23" s="234"/>
      <c r="D23" s="156">
        <v>252</v>
      </c>
    </row>
    <row r="24" spans="1:6" x14ac:dyDescent="0.25">
      <c r="A24" s="173"/>
      <c r="B24" s="173"/>
      <c r="C24" s="173"/>
      <c r="D24" s="173"/>
    </row>
    <row r="25" spans="1:6" ht="13" x14ac:dyDescent="0.25">
      <c r="A25" s="244" t="s">
        <v>257</v>
      </c>
      <c r="B25" s="245"/>
      <c r="C25" s="174" t="s">
        <v>203</v>
      </c>
      <c r="D25" s="175" t="s">
        <v>189</v>
      </c>
    </row>
    <row r="26" spans="1:6" ht="13" x14ac:dyDescent="0.3">
      <c r="A26" s="217" t="s">
        <v>252</v>
      </c>
      <c r="B26" s="218"/>
      <c r="C26" s="218"/>
      <c r="D26" s="219"/>
    </row>
    <row r="27" spans="1:6" x14ac:dyDescent="0.25">
      <c r="A27" s="207" t="s">
        <v>2</v>
      </c>
      <c r="B27" s="208"/>
      <c r="C27" s="176" t="e" cm="1">
        <f t="array" ref="C27">_xlfn.IFS($D$17="RS",HYPERLINK(Inputs!$F$3,"RS"),'AES Indiana Sep 23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177" t="e">
        <f>VLOOKUP($D$19,'Calc-Sep. 23 Current'!$B$41:$AB$1069,13,FALSE)</f>
        <v>#N/A</v>
      </c>
      <c r="F27" s="149"/>
    </row>
    <row r="28" spans="1:6" x14ac:dyDescent="0.25">
      <c r="A28" s="209" t="s">
        <v>174</v>
      </c>
      <c r="B28" s="208"/>
      <c r="C28" s="176" t="e" cm="1">
        <f t="array" ref="C28">_xlfn.IFS($D$17="RS",HYPERLINK(Inputs!$F$3,"RS"),'AES Indiana Sep 23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177" t="e">
        <f>VLOOKUP($D$19,'Calc-Sep. 23 Current'!$B$41:$AB$1069,9,FALSE)</f>
        <v>#N/A</v>
      </c>
      <c r="F28" s="149"/>
    </row>
    <row r="29" spans="1:6" x14ac:dyDescent="0.25">
      <c r="A29" s="207" t="s">
        <v>32</v>
      </c>
      <c r="B29" s="208"/>
      <c r="C29" s="176" t="e" cm="1">
        <f t="array" ref="C29">_xlfn.IFS($D$17="SL",HYPERLINK(Inputs!$F$14,"SL"),$D$17="PL",HYPERLINK(Inputs!$F$16,"PL"),$D$17="PH",HYPERLINK(Inputs!$F$18,"PH"),$D$17="HL1",HYPERLINK(Inputs!$F$20,"HL1"),$D$17="HL2",HYPERLINK(Inputs!$F$20,"HL2"),$D$17="HL3",HYPERLINK(Inputs!$F$20,"HL3"),$D$17="HL4",HYPERLINK(Inputs!$F$21,"HL4"))</f>
        <v>#N/A</v>
      </c>
      <c r="D29" s="177" t="e">
        <f>VLOOKUP($D$19,'Calc-Sep. 23 Current'!$B$41:$AB$1069,16,FALSE)</f>
        <v>#N/A</v>
      </c>
    </row>
    <row r="30" spans="1:6" x14ac:dyDescent="0.25">
      <c r="A30" s="207" t="s">
        <v>49</v>
      </c>
      <c r="B30" s="208"/>
      <c r="C30" s="176" t="e" cm="1">
        <f t="array" ref="C30">_xlfn.IFS($D$17="SL",HYPERLINK(Inputs!$F$15,"SL"),$D$17="PL",HYPERLINK(Inputs!$F$17,"PL"),$D$17="PH",HYPERLINK(Inputs!$F$19,"PH"),$D$17="HL1",HYPERLINK(Inputs!$F$21,"HL1"),$D$17="HL2",HYPERLINK(Inputs!$F$21,"HL2"),$D$17="HL3",HYPERLINK(Inputs!$F$21,"HL3"),$D$17="HL4",HYPERLINK(Inputs!$F$21,"HL4"))</f>
        <v>#N/A</v>
      </c>
      <c r="D30" s="177" t="e">
        <f>VLOOKUP($D$19,'Calc-Sep. 23 Current'!$B$41:$AB$1069,17,FALSE)</f>
        <v>#N/A</v>
      </c>
    </row>
    <row r="31" spans="1:6" ht="13" x14ac:dyDescent="0.3">
      <c r="A31" s="217" t="s">
        <v>233</v>
      </c>
      <c r="B31" s="218"/>
      <c r="C31" s="218"/>
      <c r="D31" s="219"/>
    </row>
    <row r="32" spans="1:6" x14ac:dyDescent="0.25">
      <c r="A32" s="207" t="s">
        <v>202</v>
      </c>
      <c r="B32" s="208"/>
      <c r="C32" s="178" t="s">
        <v>249</v>
      </c>
      <c r="D32" s="177" t="e">
        <f>VLOOKUP($D$19,'Calc-Sep. 23 Current'!$B$41:$AB$1069,18,FALSE)</f>
        <v>#N/A</v>
      </c>
    </row>
    <row r="33" spans="1:4" x14ac:dyDescent="0.25">
      <c r="A33" s="209" t="s">
        <v>200</v>
      </c>
      <c r="B33" s="208"/>
      <c r="C33" s="179" t="s">
        <v>9</v>
      </c>
      <c r="D33" s="177" t="e">
        <f>VLOOKUP($D$19,'Calc-Sep. 23 Current'!$B$41:$AB$1069,19,FALSE)</f>
        <v>#N/A</v>
      </c>
    </row>
    <row r="34" spans="1:4" ht="26.25" customHeight="1" x14ac:dyDescent="0.25">
      <c r="A34" s="248" t="s">
        <v>201</v>
      </c>
      <c r="B34" s="249"/>
      <c r="C34" s="179" t="s">
        <v>161</v>
      </c>
      <c r="D34" s="180" t="e">
        <f>VLOOKUP($D$19,'Calc-Sep. 23 Current'!$B$41:$AB$1069,20,FALSE)</f>
        <v>#N/A</v>
      </c>
    </row>
    <row r="35" spans="1:4" x14ac:dyDescent="0.25">
      <c r="A35" s="209" t="s">
        <v>204</v>
      </c>
      <c r="B35" s="208"/>
      <c r="C35" s="179" t="s">
        <v>8</v>
      </c>
      <c r="D35" s="177" t="e">
        <f>VLOOKUP($D$19,'Calc-Sep. 23 Current'!$B$41:$AB$1069,21,FALSE)</f>
        <v>#N/A</v>
      </c>
    </row>
    <row r="36" spans="1:4" x14ac:dyDescent="0.25">
      <c r="A36" s="250" t="s">
        <v>205</v>
      </c>
      <c r="B36" s="249"/>
      <c r="C36" s="179" t="s">
        <v>206</v>
      </c>
      <c r="D36" s="177" t="e">
        <f>VLOOKUP($D$19,'Calc-Sep. 23 Current'!$B$41:$AB$1069,23,FALSE)</f>
        <v>#N/A</v>
      </c>
    </row>
    <row r="37" spans="1:4" x14ac:dyDescent="0.25">
      <c r="A37" s="209" t="s">
        <v>207</v>
      </c>
      <c r="B37" s="208"/>
      <c r="C37" s="178" t="s">
        <v>104</v>
      </c>
      <c r="D37" s="177" t="e">
        <f>VLOOKUP($D$19,'Calc-Sep. 23 Current'!$B$41:$AB$1069,24,FALSE)</f>
        <v>#N/A</v>
      </c>
    </row>
    <row r="38" spans="1:4" x14ac:dyDescent="0.25">
      <c r="A38" s="209" t="s">
        <v>208</v>
      </c>
      <c r="B38" s="208"/>
      <c r="C38" s="178" t="s">
        <v>105</v>
      </c>
      <c r="D38" s="177" t="e">
        <f>VLOOKUP($D$19,'Calc-Sep. 23 Current'!$B$41:$AB$1069,25,FALSE)</f>
        <v>#N/A</v>
      </c>
    </row>
    <row r="39" spans="1:4" x14ac:dyDescent="0.25">
      <c r="A39" s="207" t="s">
        <v>250</v>
      </c>
      <c r="B39" s="208"/>
      <c r="C39" s="179" t="s">
        <v>106</v>
      </c>
      <c r="D39" s="181" t="e">
        <f>VLOOKUP($D$19,'Calc-Sep. 23 Current'!$B$41:$AB$1069,26,FALSE)</f>
        <v>#N/A</v>
      </c>
    </row>
    <row r="40" spans="1:4" ht="13" x14ac:dyDescent="0.3">
      <c r="A40" s="246" t="s">
        <v>215</v>
      </c>
      <c r="B40" s="247"/>
      <c r="C40" s="182"/>
      <c r="D40" s="183" t="e">
        <f>VLOOKUP($D$19,'Calc-Sep. 23 Current'!$B$41:$AB$1069,6,FALSE)</f>
        <v>#N/A</v>
      </c>
    </row>
    <row r="41" spans="1:4" ht="13" thickBot="1" x14ac:dyDescent="0.3">
      <c r="A41" s="210" t="s">
        <v>247</v>
      </c>
      <c r="B41" s="211"/>
      <c r="C41" s="182"/>
      <c r="D41" s="184" t="e">
        <f>D40*0.07</f>
        <v>#N/A</v>
      </c>
    </row>
    <row r="42" spans="1:4" ht="13" x14ac:dyDescent="0.3">
      <c r="A42" s="212" t="s">
        <v>179</v>
      </c>
      <c r="B42" s="213"/>
      <c r="C42" s="185"/>
      <c r="D42" s="186" t="e">
        <f>SUM(D40:D41)</f>
        <v>#N/A</v>
      </c>
    </row>
    <row r="43" spans="1:4" x14ac:dyDescent="0.25">
      <c r="A43" s="220"/>
      <c r="B43" s="221"/>
      <c r="C43" s="221"/>
      <c r="D43" s="187"/>
    </row>
    <row r="44" spans="1:4" ht="13" x14ac:dyDescent="0.3">
      <c r="A44" s="222"/>
      <c r="B44" s="223"/>
      <c r="C44" s="223"/>
      <c r="D44" s="188"/>
    </row>
    <row r="45" spans="1:4" ht="13" x14ac:dyDescent="0.25">
      <c r="A45" s="214" t="s">
        <v>248</v>
      </c>
      <c r="B45" s="215"/>
      <c r="C45" s="215"/>
      <c r="D45" s="216"/>
    </row>
    <row r="46" spans="1:4" ht="12.65" customHeight="1" x14ac:dyDescent="0.25">
      <c r="A46" s="195" t="s">
        <v>308</v>
      </c>
      <c r="B46" s="196"/>
      <c r="C46" s="196"/>
      <c r="D46" s="197"/>
    </row>
    <row r="47" spans="1:4" x14ac:dyDescent="0.25">
      <c r="A47" s="198"/>
      <c r="B47" s="199"/>
      <c r="C47" s="199"/>
      <c r="D47" s="200"/>
    </row>
    <row r="48" spans="1:4" x14ac:dyDescent="0.25">
      <c r="A48" s="198"/>
      <c r="B48" s="199"/>
      <c r="C48" s="199"/>
      <c r="D48" s="200"/>
    </row>
    <row r="49" spans="1:4" x14ac:dyDescent="0.25">
      <c r="A49" s="198"/>
      <c r="B49" s="199"/>
      <c r="C49" s="199"/>
      <c r="D49" s="200"/>
    </row>
    <row r="50" spans="1:4" x14ac:dyDescent="0.25">
      <c r="A50" s="198"/>
      <c r="B50" s="199"/>
      <c r="C50" s="199"/>
      <c r="D50" s="200"/>
    </row>
    <row r="51" spans="1:4" x14ac:dyDescent="0.25">
      <c r="A51" s="198"/>
      <c r="B51" s="199"/>
      <c r="C51" s="199"/>
      <c r="D51" s="200"/>
    </row>
    <row r="52" spans="1:4" x14ac:dyDescent="0.25">
      <c r="A52" s="201"/>
      <c r="B52" s="202"/>
      <c r="C52" s="202"/>
      <c r="D52" s="203"/>
    </row>
  </sheetData>
  <sheetProtection algorithmName="SHA-512" hashValue="/MmnJOmKZ7W2+cgRwxoKbzsbMDofzorjjGX/DCTe8sPfDIJ9KMc7N6WJQEnUSh5ODssXTSNxBleEUEe0qVk3FA==" saltValue="/B88950FtV+RSMgSpvDcWQ==" spinCount="100000" sheet="1" objects="1" scenarios="1"/>
  <mergeCells count="38">
    <mergeCell ref="B1:D3"/>
    <mergeCell ref="A25:B25"/>
    <mergeCell ref="A38:B38"/>
    <mergeCell ref="A39:B39"/>
    <mergeCell ref="A40:B40"/>
    <mergeCell ref="A32:B32"/>
    <mergeCell ref="A33:B33"/>
    <mergeCell ref="A34:B34"/>
    <mergeCell ref="A35:B35"/>
    <mergeCell ref="A36:B36"/>
    <mergeCell ref="A29:B29"/>
    <mergeCell ref="A37:B37"/>
    <mergeCell ref="A31:D31"/>
    <mergeCell ref="B16:D16"/>
    <mergeCell ref="B20:C20"/>
    <mergeCell ref="B21:C21"/>
    <mergeCell ref="A5:D5"/>
    <mergeCell ref="A6:D7"/>
    <mergeCell ref="B22:C22"/>
    <mergeCell ref="B23:C23"/>
    <mergeCell ref="B17:C17"/>
    <mergeCell ref="B18:C18"/>
    <mergeCell ref="B19:C19"/>
    <mergeCell ref="A13:D14"/>
    <mergeCell ref="B10:D10"/>
    <mergeCell ref="B11:C11"/>
    <mergeCell ref="B12:C12"/>
    <mergeCell ref="A46:D52"/>
    <mergeCell ref="A8:D8"/>
    <mergeCell ref="A27:B27"/>
    <mergeCell ref="A28:B28"/>
    <mergeCell ref="A30:B30"/>
    <mergeCell ref="A41:B41"/>
    <mergeCell ref="A42:B42"/>
    <mergeCell ref="A45:D45"/>
    <mergeCell ref="A26:D26"/>
    <mergeCell ref="A43:C43"/>
    <mergeCell ref="A44:C44"/>
  </mergeCells>
  <phoneticPr fontId="3" type="noConversion"/>
  <conditionalFormatting sqref="A13">
    <cfRule type="expression" dxfId="46" priority="33" stopIfTrue="1">
      <formula>OR($D$11="",$D$12="")</formula>
    </cfRule>
  </conditionalFormatting>
  <conditionalFormatting sqref="A17">
    <cfRule type="expression" dxfId="42" priority="7">
      <formula>OR($D$17="RS",$D$17="RC",$D$17="RH",$D$17="SS",$D$17="SH",$D$17="SE",$D$17="CR",$D$17="CB",$D$17="UW",$D$17="SL",$D$17="PL",$D$17="PH",$D$17="HL1",$D$17="HL2",$D$17="HL3",$D$17="HL4")</formula>
    </cfRule>
  </conditionalFormatting>
  <conditionalFormatting sqref="A18">
    <cfRule type="expression" dxfId="41" priority="89">
      <formula>OR($D$17="RS",$D$17="RC",$D$17="RH",$D$17="SS",$D$17="SH",$D$17="SE",$D$17="CR",$D$17="CB",$D$17="UW",$D$17="SL",$D$17="PL",$D$17="PH",$D$17="HL1",$D$17="HL2",$D$17="HL3",$D$17="HL4")</formula>
    </cfRule>
  </conditionalFormatting>
  <conditionalFormatting sqref="A19">
    <cfRule type="expression" dxfId="40" priority="85">
      <formula>OR($D$17="RS",$D$17="RC",$D$17="RH",$D$17="SS",$D$17="SH",$D$17="SE",$D$17="CR",$D$17="CB",$D$17="UW",$D$17="SL",$D$17="PL",$D$17="PH",$D$17="HL1",$D$17="HL2",$D$17="HL3",$D$17="HL4")</formula>
    </cfRule>
  </conditionalFormatting>
  <conditionalFormatting sqref="A20">
    <cfRule type="expression" dxfId="39" priority="75">
      <formula>OR($D$17="SS",$D$17="SH",$D$17="SE",$D$17="SL",$D$17="PL",$D$17="PH",$D$17="HL1",$D$17="HL2",$D$17="HL3",$D$17="HL4")</formula>
    </cfRule>
  </conditionalFormatting>
  <conditionalFormatting sqref="A21:A22">
    <cfRule type="expression" dxfId="38" priority="64">
      <formula>OR($D$17="SL",$D$17="PL",$D$17="PH",$D$17="HL1",$D$17="HL2",$D$17="HL3",$D$17="HL4")</formula>
    </cfRule>
  </conditionalFormatting>
  <conditionalFormatting sqref="A23">
    <cfRule type="expression" dxfId="37" priority="58">
      <formula>$D$17="SE"</formula>
    </cfRule>
  </conditionalFormatting>
  <conditionalFormatting sqref="A43:A44">
    <cfRule type="expression" dxfId="36" priority="1">
      <formula>$D$17="Select Rate Code"</formula>
    </cfRule>
  </conditionalFormatting>
  <conditionalFormatting sqref="A27:B28">
    <cfRule type="expression" dxfId="35" priority="44">
      <formula>$D$17="Select Rate Code"</formula>
    </cfRule>
  </conditionalFormatting>
  <conditionalFormatting sqref="A29:B30">
    <cfRule type="expression" dxfId="34" priority="52">
      <formula>$D$17="Select Rate Code"</formula>
    </cfRule>
  </conditionalFormatting>
  <conditionalFormatting sqref="A18:C23">
    <cfRule type="expression" dxfId="32" priority="56">
      <formula>$D$17="Select Rate Code"</formula>
    </cfRule>
  </conditionalFormatting>
  <conditionalFormatting sqref="A20:C20">
    <cfRule type="expression" dxfId="31" priority="74">
      <formula>OR($D$17="RS",$D$17="RC",$D$17="RH",$D$17="CB",$D$17="CR",$D$17="UW")</formula>
    </cfRule>
  </conditionalFormatting>
  <conditionalFormatting sqref="A21:C22">
    <cfRule type="expression" dxfId="30" priority="63">
      <formula>OR($D$17="SS",$D$17="SH",$D$17="SE",$D$17="RS",$D$17="RC",$D$17="RH",$D$17="CB",$D$17="CR",$D$17="UW")</formula>
    </cfRule>
  </conditionalFormatting>
  <conditionalFormatting sqref="A23:C23">
    <cfRule type="expression" dxfId="29" priority="57">
      <formula>OR($D$17="RS",$D$17="RC",$D$17="RH",$D$17="SS",$D$17="SH",$D$17="CR",$D$17="CB",$D$17="UW",$D$17="SL",$D$17="PL",$D$17="PH",$D$17="HL1",$D$17="HL2",$D$17="HL3",$D$17="HL4")</formula>
    </cfRule>
  </conditionalFormatting>
  <conditionalFormatting sqref="A29:C30">
    <cfRule type="expression" dxfId="28" priority="47">
      <formula>OR($D$17="SS",$D$17="SH",$D$17="SE",$D$17="RS",$D$17="RC",$D$17="RH",$D$17="CB",$D$17="CR",$D$17="UW")</formula>
    </cfRule>
  </conditionalFormatting>
  <conditionalFormatting sqref="A16:D16">
    <cfRule type="expression" dxfId="27" priority="22">
      <formula>OR($D$11="",$D$12="")</formula>
    </cfRule>
  </conditionalFormatting>
  <conditionalFormatting sqref="A25:D25">
    <cfRule type="expression" dxfId="25" priority="36">
      <formula>$D$17="Select Rate Code"</formula>
    </cfRule>
  </conditionalFormatting>
  <conditionalFormatting sqref="A26:D26">
    <cfRule type="expression" dxfId="24" priority="43">
      <formula>$D$17="Select Rate Code"</formula>
    </cfRule>
  </conditionalFormatting>
  <conditionalFormatting sqref="A31:D31 A32:B42">
    <cfRule type="expression" dxfId="23" priority="45">
      <formula>$D$17="Select Rate Code"</formula>
    </cfRule>
  </conditionalFormatting>
  <conditionalFormatting sqref="B17:C17">
    <cfRule type="expression" dxfId="22" priority="20">
      <formula>OR($D$11="",$D$12="")</formula>
    </cfRule>
  </conditionalFormatting>
  <conditionalFormatting sqref="B18:C19">
    <cfRule type="expression" priority="87">
      <formula>OR($D$17="RS",$D$17="RC",$D$17="RH",$D$17="SS",$D$17="SH",$D$17="SE",$D$17="CR",$D$17="CB",$D$17="UW",$D$17="SL",$D$17="PL",$D$17="PH",$D$17="HL1",$D$17="HL2",$D$17="HL3",$D$17="HL4")</formula>
    </cfRule>
  </conditionalFormatting>
  <conditionalFormatting sqref="B20:C20">
    <cfRule type="expression" priority="84">
      <formula>OR($D$17="SS",$D$17="SH",$D$17="SE",$D$17="SL",$D$17="PL",$D$17="PH",$D$17="HL1",$D$17="HL2",$D$17="HL3",$D$17="HL4")</formula>
    </cfRule>
  </conditionalFormatting>
  <conditionalFormatting sqref="B21:C21">
    <cfRule type="expression" priority="81">
      <formula>"Applicable =OR($D$16=""SL"",$D$16=""PL"",$D$16=""PH"",$D$16=""HL1"",$D$16=""HL2"",$D$16=""HL3"",$D$16=""HL4"")"</formula>
    </cfRule>
  </conditionalFormatting>
  <conditionalFormatting sqref="B22:C22">
    <cfRule type="expression" priority="68">
      <formula>OR($D$17="SL",$D$17="PL",$D$17="PH",$D$17="HL1",$D$17="HL2",$D$17="HL3",$D$17="HL4")</formula>
    </cfRule>
  </conditionalFormatting>
  <conditionalFormatting sqref="B23:C23">
    <cfRule type="expression" priority="61">
      <formula>$D$17="SE"</formula>
    </cfRule>
  </conditionalFormatting>
  <conditionalFormatting sqref="C27:C28">
    <cfRule type="expression" dxfId="21" priority="39">
      <formula>OR($D$17="RS",$D$17="RC",$D$17="RH",$D$17="SS",$D$17="SH",$D$17="SE",$D$17="CR",$D$17="CB",$D$17="UW",$D$17="SL",$D$17="PL",$D$17="PH",$D$17="HL1",$D$17="HL2",$D$17="HL3",$D$17="HL4")</formula>
    </cfRule>
  </conditionalFormatting>
  <conditionalFormatting sqref="C27:C30">
    <cfRule type="expression" dxfId="20" priority="41">
      <formula>$D$17="Select Rate Code"</formula>
    </cfRule>
  </conditionalFormatting>
  <conditionalFormatting sqref="C29:C30">
    <cfRule type="expression" dxfId="19" priority="48">
      <formula>OR($D$17="SL",$D$17="PL",$D$17="PH",$D$17="HL1",$D$17="HL2",$D$17="HL3",$D$17="HL4")</formula>
    </cfRule>
  </conditionalFormatting>
  <conditionalFormatting sqref="C32:C39">
    <cfRule type="expression" dxfId="18" priority="42">
      <formula>$D$17="Select Rate Code"</formula>
    </cfRule>
  </conditionalFormatting>
  <conditionalFormatting sqref="D17">
    <cfRule type="expression" dxfId="15" priority="21" stopIfTrue="1">
      <formula>OR($D$11="",$D$12="")</formula>
    </cfRule>
    <cfRule type="expression" dxfId="14" priority="93">
      <formula>$D$17="Select Rate Code"</formula>
    </cfRule>
  </conditionalFormatting>
  <conditionalFormatting sqref="D18:D19">
    <cfRule type="expression" dxfId="13" priority="98">
      <formula>$D$17="Select Rate Code"</formula>
    </cfRule>
    <cfRule type="expression" dxfId="12" priority="108">
      <formula>OR($D$17="RS",$D$17="RC",$D$17="RH",$D$17="SS",$D$17="SH",$D$17="SE",$D$17="CR",$D$17="CB",$D$17="UW",$D$17="SL",$D$17="PL",$D$17="PH",$D$17="HL1",$D$17="HL2",$D$17="HL3",$D$17="HL4")</formula>
    </cfRule>
  </conditionalFormatting>
  <conditionalFormatting sqref="D20">
    <cfRule type="expression" dxfId="11" priority="106">
      <formula>OR($D$17="RS",$D$17="RC",$D$17="RH",$D$17="CB",$D$17="CR",$D$17="UW")</formula>
    </cfRule>
    <cfRule type="expression" dxfId="10" priority="107">
      <formula>OR($D$17="SS",$D$17="SH",$D$17="SE",$D$17="SL",$D$17="PL",$D$17="PH",$D$17="HL1",$D$17="HL2",$D$17="HL3",$D$17="HL4")</formula>
    </cfRule>
  </conditionalFormatting>
  <conditionalFormatting sqref="D20:D22">
    <cfRule type="expression" dxfId="9" priority="96">
      <formula>$D$17="Select Rate Code"</formula>
    </cfRule>
  </conditionalFormatting>
  <conditionalFormatting sqref="D21:D22">
    <cfRule type="expression" dxfId="8" priority="104">
      <formula>OR($D$17="SS",$D$17="SH",$D$17="SE",$D$17="RS",$D$17="RC",$D$17="RH",$D$17="CB",$D$17="CR",$D$17="UW")</formula>
    </cfRule>
    <cfRule type="expression" dxfId="7" priority="105">
      <formula>OR($D$17="SL",$D$17="PL",$D$17="PH",$D$17="HL1",$D$17="HL2",$D$17="HL3",$D$17="HL4")</formula>
    </cfRule>
  </conditionalFormatting>
  <conditionalFormatting sqref="D23">
    <cfRule type="expression" dxfId="6" priority="100">
      <formula>OR($D$17="RS",$D$17="RC",$D$17="RH",$D$17="SS",$D$17="SH",$D$17="CR",$D$17="CB",$D$17="UW",$D$17="SL",$D$17="PL",$D$17="PH",$D$17="HL1",$D$17="HL2",$D$17="HL3",$D$17="HL4")</formula>
    </cfRule>
    <cfRule type="expression" dxfId="5" priority="101">
      <formula>$D$17="SE"</formula>
    </cfRule>
    <cfRule type="expression" dxfId="4" priority="94">
      <formula>$D$17="Select Rate Code"</formula>
    </cfRule>
  </conditionalFormatting>
  <conditionalFormatting sqref="D27:D30 D32:D41">
    <cfRule type="expression" dxfId="3" priority="38">
      <formula>$D$17="Select Rate Code"</formula>
    </cfRule>
  </conditionalFormatting>
  <conditionalFormatting sqref="D29">
    <cfRule type="expression" dxfId="2" priority="9">
      <formula>OR($D$17="SS",$D$17="SH",$D$17="SE",$D$17="RS",$D$17="RC",$D$17="RH",$D$17="CB",$D$17="CR",$D$17="UW")</formula>
    </cfRule>
  </conditionalFormatting>
  <conditionalFormatting sqref="D30">
    <cfRule type="expression" dxfId="1" priority="8">
      <formula>OR($D$17="SS",$D$17="SH",$D$17="SE",$D$17="RS",$D$17="RC",$D$17="RH",$D$17="CB",$D$17="CR",$D$17="UW")</formula>
    </cfRule>
  </conditionalFormatting>
  <conditionalFormatting sqref="D42:D43">
    <cfRule type="expression" dxfId="0" priority="37">
      <formula>$D$17="Select Rate Code"</formula>
    </cfRule>
  </conditionalFormatting>
  <dataValidations count="7">
    <dataValidation type="list" allowBlank="1" showInputMessage="1" showErrorMessage="1" sqref="D18" xr:uid="{00000000-0002-0000-0000-000000000000}">
      <formula1>"Select Option, Yes 100%, Yes 50%, Yes 25%, Yes 10%, No"</formula1>
    </dataValidation>
    <dataValidation type="list" allowBlank="1" showInputMessage="1" showErrorMessage="1" sqref="D20" xr:uid="{1541F389-DBE5-492D-A7C4-08791E22FEFD}">
      <formula1>"Select Option, No, Yes Before 2018, Yes 2018, Yes 2019, Yes 2020, Yes 2021, Yes 2022, Yes 2023"</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s>
  <hyperlinks>
    <hyperlink ref="C32" r:id="rId1" xr:uid="{00000000-0004-0000-0000-000000000000}"/>
    <hyperlink ref="C33" r:id="rId2" location="page=2" xr:uid="{00000000-0004-0000-0000-000001000000}"/>
    <hyperlink ref="C34" r:id="rId3" xr:uid="{00000000-0004-0000-0000-000002000000}"/>
    <hyperlink ref="C35" r:id="rId4" location="page=2" xr:uid="{00000000-0004-0000-0000-000003000000}"/>
    <hyperlink ref="C36" r:id="rId5" xr:uid="{00000000-0004-0000-0000-000004000000}"/>
    <hyperlink ref="C37" r:id="rId6" location="page=2" xr:uid="{00000000-0004-0000-0000-000005000000}"/>
    <hyperlink ref="C38" r:id="rId7" location="page=2" xr:uid="{00000000-0004-0000-0000-000006000000}"/>
    <hyperlink ref="C39" r:id="rId8" location="page=2" xr:uid="{00000000-0004-0000-0000-000007000000}"/>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9"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6" id="{BE6968EF-A7F3-448F-A0F7-DBCCADBB4F8E}">
            <xm:f>$A$13&lt;&gt;Inputs!$E$26</xm:f>
            <x14:dxf>
              <fill>
                <patternFill>
                  <bgColor theme="5"/>
                </patternFill>
              </fill>
            </x14:dxf>
          </x14:cfRule>
          <x14:cfRule type="expression" priority="115" id="{039BCF01-2FA1-4C68-8253-F53131F1952B}">
            <xm:f>$A$13=Inputs!$E$26</xm:f>
            <x14:dxf>
              <fill>
                <patternFill>
                  <bgColor rgb="FF16A837"/>
                </patternFill>
              </fill>
            </x14:dxf>
          </x14:cfRule>
          <xm:sqref>A13</xm:sqref>
        </x14:conditionalFormatting>
        <x14:conditionalFormatting xmlns:xm="http://schemas.microsoft.com/office/excel/2006/main">
          <x14:cfRule type="expression" priority="6" id="{FBD18012-4B8F-4F7A-AA34-415B5B28DD48}">
            <xm:f>$A$13=Inputs!$E$26</xm:f>
            <x14:dxf>
              <font>
                <u/>
                <color theme="4"/>
              </font>
            </x14:dxf>
          </x14:cfRule>
          <xm:sqref>A17</xm:sqref>
        </x14:conditionalFormatting>
        <x14:conditionalFormatting xmlns:xm="http://schemas.microsoft.com/office/excel/2006/main">
          <x14:cfRule type="expression" priority="2" id="{35D30560-E9BF-4B95-BF94-B4C787565903}">
            <xm:f>$A$13&lt;&gt;Inputs!$E$26</xm:f>
            <x14:dxf>
              <font>
                <color theme="0"/>
              </font>
            </x14:dxf>
          </x14:cfRule>
          <xm:sqref>A17:C17</xm:sqref>
        </x14:conditionalFormatting>
        <x14:conditionalFormatting xmlns:xm="http://schemas.microsoft.com/office/excel/2006/main">
          <x14:cfRule type="expression" priority="117"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0"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5"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31" zoomScale="130" zoomScaleNormal="120" zoomScaleSheetLayoutView="130" workbookViewId="0">
      <selection activeCell="A30" sqref="A30"/>
    </sheetView>
  </sheetViews>
  <sheetFormatPr defaultRowHeight="12.5" x14ac:dyDescent="0.25"/>
  <sheetData/>
  <sheetProtection algorithmName="SHA-512" hashValue="8KUFWD7ggjrV+uJRVI+Go54XPYrS9lR3yLMjxacqmyIx2cWJuG0hBD2adJplukAZ3bXQQbsMbjrfrXBwctnl2g==" saltValue="PjcQn4K5c5Js6kwqpkfO1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5" x14ac:dyDescent="0.25"/>
  <sheetData/>
  <sheetProtection algorithmName="SHA-512" hashValue="kD4oNZtrzqy2O8TWBJjLUzgSNVJ7dol1Nsnaw96+7OXzLNIjrFXx+PcZBthpoHqElNjV5MxPp2K302tlZBfQ+g==" saltValue="dk6cTvciVapMJybtwG+K0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3"/>
  <sheetViews>
    <sheetView topLeftCell="A10" workbookViewId="0">
      <selection activeCell="L56" sqref="L56"/>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6" ht="13.5" thickBot="1" x14ac:dyDescent="0.35">
      <c r="B2" s="148" t="s">
        <v>170</v>
      </c>
      <c r="E2" s="252" t="s">
        <v>199</v>
      </c>
      <c r="F2" s="252"/>
    </row>
    <row r="3" spans="2:6" x14ac:dyDescent="0.25">
      <c r="B3" s="30" t="s">
        <v>14</v>
      </c>
      <c r="E3" s="30" t="s">
        <v>209</v>
      </c>
      <c r="F3" t="s">
        <v>198</v>
      </c>
    </row>
    <row r="4" spans="2:6" x14ac:dyDescent="0.25">
      <c r="B4" s="30" t="s">
        <v>17</v>
      </c>
      <c r="E4" s="150"/>
    </row>
    <row r="5" spans="2:6" x14ac:dyDescent="0.25">
      <c r="B5" s="30" t="s">
        <v>18</v>
      </c>
    </row>
    <row r="6" spans="2:6" x14ac:dyDescent="0.25">
      <c r="B6" s="30" t="s">
        <v>22</v>
      </c>
    </row>
    <row r="7" spans="2:6" ht="13.5" thickBot="1" x14ac:dyDescent="0.35">
      <c r="B7" s="30" t="s">
        <v>24</v>
      </c>
      <c r="E7" s="252" t="s">
        <v>210</v>
      </c>
      <c r="F7" s="252"/>
    </row>
    <row r="8" spans="2:6" x14ac:dyDescent="0.25">
      <c r="B8" s="30" t="s">
        <v>29</v>
      </c>
      <c r="E8" s="30" t="s">
        <v>22</v>
      </c>
      <c r="F8" t="s">
        <v>212</v>
      </c>
    </row>
    <row r="9" spans="2:6" x14ac:dyDescent="0.25">
      <c r="B9" s="30" t="s">
        <v>46</v>
      </c>
      <c r="E9" s="30" t="s">
        <v>24</v>
      </c>
      <c r="F9" t="s">
        <v>213</v>
      </c>
    </row>
    <row r="10" spans="2:6" x14ac:dyDescent="0.25">
      <c r="B10" s="30" t="s">
        <v>47</v>
      </c>
      <c r="E10" s="30" t="s">
        <v>29</v>
      </c>
      <c r="F10" s="150" t="s">
        <v>214</v>
      </c>
    </row>
    <row r="11" spans="2:6" x14ac:dyDescent="0.25">
      <c r="B11" s="30" t="s">
        <v>48</v>
      </c>
      <c r="E11" s="30" t="s">
        <v>46</v>
      </c>
      <c r="F11" s="150" t="s">
        <v>216</v>
      </c>
    </row>
    <row r="12" spans="2:6" x14ac:dyDescent="0.25">
      <c r="B12" s="30" t="s">
        <v>36</v>
      </c>
      <c r="E12" s="30" t="s">
        <v>47</v>
      </c>
      <c r="F12" s="150" t="s">
        <v>216</v>
      </c>
    </row>
    <row r="13" spans="2:6" x14ac:dyDescent="0.25">
      <c r="B13" s="30" t="s">
        <v>39</v>
      </c>
      <c r="E13" s="30" t="s">
        <v>48</v>
      </c>
      <c r="F13" t="s">
        <v>211</v>
      </c>
    </row>
    <row r="14" spans="2:6" x14ac:dyDescent="0.25">
      <c r="B14" s="30" t="s">
        <v>52</v>
      </c>
      <c r="E14" s="30" t="s">
        <v>218</v>
      </c>
      <c r="F14" t="s">
        <v>217</v>
      </c>
    </row>
    <row r="15" spans="2:6" x14ac:dyDescent="0.25">
      <c r="B15" s="30" t="s">
        <v>42</v>
      </c>
      <c r="E15" s="30" t="s">
        <v>219</v>
      </c>
      <c r="F15" s="150" t="s">
        <v>220</v>
      </c>
    </row>
    <row r="16" spans="2:6" x14ac:dyDescent="0.25">
      <c r="B16" s="30" t="s">
        <v>53</v>
      </c>
      <c r="E16" s="30" t="s">
        <v>221</v>
      </c>
      <c r="F16" t="s">
        <v>223</v>
      </c>
    </row>
    <row r="17" spans="2:11" x14ac:dyDescent="0.25">
      <c r="B17" s="30" t="s">
        <v>54</v>
      </c>
      <c r="E17" s="30" t="s">
        <v>222</v>
      </c>
      <c r="F17" s="150" t="s">
        <v>224</v>
      </c>
    </row>
    <row r="18" spans="2:11" x14ac:dyDescent="0.25">
      <c r="B18" s="30" t="s">
        <v>188</v>
      </c>
      <c r="E18" s="30" t="s">
        <v>227</v>
      </c>
      <c r="F18" t="s">
        <v>225</v>
      </c>
    </row>
    <row r="19" spans="2:11" x14ac:dyDescent="0.25">
      <c r="E19" s="30" t="s">
        <v>228</v>
      </c>
      <c r="F19" s="150" t="s">
        <v>226</v>
      </c>
    </row>
    <row r="20" spans="2:11" x14ac:dyDescent="0.25">
      <c r="E20" s="30" t="s">
        <v>229</v>
      </c>
      <c r="F20" t="s">
        <v>231</v>
      </c>
    </row>
    <row r="21" spans="2:11" x14ac:dyDescent="0.25">
      <c r="E21" s="30" t="s">
        <v>230</v>
      </c>
      <c r="F21" s="150" t="s">
        <v>232</v>
      </c>
    </row>
    <row r="25" spans="2:11" x14ac:dyDescent="0.25">
      <c r="E25" s="157" t="s">
        <v>262</v>
      </c>
    </row>
    <row r="26" spans="2:11" x14ac:dyDescent="0.25">
      <c r="E26" s="157" t="s">
        <v>271</v>
      </c>
    </row>
    <row r="29" spans="2:11" ht="13.5" thickBot="1" x14ac:dyDescent="0.35">
      <c r="C29" s="252" t="s">
        <v>276</v>
      </c>
      <c r="D29" s="252"/>
      <c r="E29" s="252"/>
      <c r="F29" s="252"/>
      <c r="G29" s="252"/>
      <c r="H29" s="252"/>
      <c r="I29" s="252"/>
      <c r="J29" s="252"/>
      <c r="K29" s="252"/>
    </row>
    <row r="30" spans="2:11" ht="13" thickBot="1" x14ac:dyDescent="0.3">
      <c r="E30" s="253" t="s">
        <v>303</v>
      </c>
      <c r="F30" s="254"/>
      <c r="G30" s="255"/>
      <c r="H30" s="253" t="s">
        <v>272</v>
      </c>
      <c r="I30" s="254"/>
      <c r="J30" s="255"/>
    </row>
    <row r="31" spans="2:11" x14ac:dyDescent="0.25">
      <c r="C31" s="167" t="s">
        <v>277</v>
      </c>
      <c r="D31" s="167" t="s">
        <v>265</v>
      </c>
      <c r="E31" s="168" t="s">
        <v>263</v>
      </c>
      <c r="F31" s="167" t="s">
        <v>264</v>
      </c>
      <c r="G31" s="169" t="s">
        <v>270</v>
      </c>
      <c r="H31" s="167" t="s">
        <v>263</v>
      </c>
      <c r="I31" s="167" t="s">
        <v>264</v>
      </c>
      <c r="J31" s="169" t="s">
        <v>270</v>
      </c>
      <c r="K31" s="167" t="s">
        <v>266</v>
      </c>
    </row>
    <row r="32" spans="2:11" x14ac:dyDescent="0.25">
      <c r="C32">
        <f>IF(AND('AES Indiana Sep 23 Bill Calc.'!$D$11&gt;=Inputs!E32,'AES Indiana Sep 23 Bill Calc.'!$D$12&gt;=Inputs!F32,'AES Indiana Sep 23 Bill Calc.'!$D$11&lt;=Inputs!H32,'AES Indiana Sep 23 Bill Calc.'!$D$12&lt;=Inputs!I32,'AES Indiana Sep 23 Bill Calc.'!$D$12-'AES Indiana Sep 23 Bill Calc.'!$D$11&gt;=27,'AES Indiana Sep 23 Bill Calc.'!$D$12-'AES Indiana Sep 23 Bill Calc.'!$D$11&lt;=34),"X",)</f>
        <v>0</v>
      </c>
      <c r="D32" s="160">
        <v>44562</v>
      </c>
      <c r="E32" s="161">
        <v>44529</v>
      </c>
      <c r="F32" s="149">
        <v>44559</v>
      </c>
      <c r="G32" s="64">
        <f t="shared" ref="G32:G39" si="0">F32-E32</f>
        <v>30</v>
      </c>
      <c r="H32" s="149">
        <v>44559</v>
      </c>
      <c r="I32" s="149">
        <v>44589</v>
      </c>
      <c r="J32" s="64">
        <f t="shared" ref="J32:J50" si="1">I32-H32</f>
        <v>30</v>
      </c>
      <c r="K32" s="157" t="s">
        <v>286</v>
      </c>
    </row>
    <row r="33" spans="3:11" x14ac:dyDescent="0.25">
      <c r="C33">
        <f>IF(AND('AES Indiana Sep 23 Bill Calc.'!$D$11&gt;=Inputs!E33,'AES Indiana Sep 23 Bill Calc.'!$D$12&gt;=Inputs!F33,'AES Indiana Sep 23 Bill Calc.'!$D$11&lt;=Inputs!H33,'AES Indiana Sep 23 Bill Calc.'!$D$12&lt;=Inputs!I33,'AES Indiana Sep 23 Bill Calc.'!$D$12-'AES Indiana Sep 23 Bill Calc.'!$D$11&gt;=27,'AES Indiana Sep 23 Bill Calc.'!$D$12-'AES Indiana Sep 23 Bill Calc.'!$D$11&lt;=34),"X",)</f>
        <v>0</v>
      </c>
      <c r="D33" s="160">
        <v>44593</v>
      </c>
      <c r="E33" s="161">
        <v>44559</v>
      </c>
      <c r="F33" s="159">
        <v>44591</v>
      </c>
      <c r="G33" s="64">
        <f t="shared" si="0"/>
        <v>32</v>
      </c>
      <c r="H33" s="149">
        <v>44589</v>
      </c>
      <c r="I33" s="149">
        <v>44617</v>
      </c>
      <c r="J33" s="64">
        <f t="shared" si="1"/>
        <v>28</v>
      </c>
      <c r="K33" s="157" t="s">
        <v>286</v>
      </c>
    </row>
    <row r="34" spans="3:11" x14ac:dyDescent="0.25">
      <c r="C34">
        <f>IF(AND('AES Indiana Sep 23 Bill Calc.'!$D$11&gt;=Inputs!E34,'AES Indiana Sep 23 Bill Calc.'!$D$12&gt;=Inputs!F34,'AES Indiana Sep 23 Bill Calc.'!$D$11&lt;=Inputs!H34,'AES Indiana Sep 23 Bill Calc.'!$D$12&lt;=Inputs!I34,'AES Indiana Sep 23 Bill Calc.'!$D$12-'AES Indiana Sep 23 Bill Calc.'!$D$11&gt;=27,'AES Indiana Sep 23 Bill Calc.'!$D$12-'AES Indiana Sep 23 Bill Calc.'!$D$11&lt;=34),"X",)</f>
        <v>0</v>
      </c>
      <c r="D34" s="160">
        <v>44621</v>
      </c>
      <c r="E34" s="161">
        <v>44591</v>
      </c>
      <c r="F34" s="149">
        <v>44619</v>
      </c>
      <c r="G34" s="64">
        <f t="shared" si="0"/>
        <v>28</v>
      </c>
      <c r="H34" s="149">
        <v>44617</v>
      </c>
      <c r="I34" s="149">
        <v>44649</v>
      </c>
      <c r="J34" s="64">
        <f t="shared" si="1"/>
        <v>32</v>
      </c>
      <c r="K34" s="157" t="s">
        <v>286</v>
      </c>
    </row>
    <row r="35" spans="3:11" x14ac:dyDescent="0.25">
      <c r="C35">
        <f>IF(AND('AES Indiana Sep 23 Bill Calc.'!$D$11&gt;=Inputs!E35,'AES Indiana Sep 23 Bill Calc.'!$D$12&gt;=Inputs!F35,'AES Indiana Sep 23 Bill Calc.'!$D$11&lt;=Inputs!H35,'AES Indiana Sep 23 Bill Calc.'!$D$12&lt;=Inputs!I35,'AES Indiana Sep 23 Bill Calc.'!$D$12-'AES Indiana Sep 23 Bill Calc.'!$D$11&gt;=27,'AES Indiana Sep 23 Bill Calc.'!$D$12-'AES Indiana Sep 23 Bill Calc.'!$D$11&lt;=34),"X",)</f>
        <v>0</v>
      </c>
      <c r="D35" s="160">
        <v>44652</v>
      </c>
      <c r="E35" s="161">
        <v>44619</v>
      </c>
      <c r="F35" s="149">
        <v>44650</v>
      </c>
      <c r="G35" s="64">
        <f t="shared" si="0"/>
        <v>31</v>
      </c>
      <c r="H35" s="149">
        <v>44649</v>
      </c>
      <c r="I35" s="149">
        <v>44678</v>
      </c>
      <c r="J35" s="64">
        <f t="shared" si="1"/>
        <v>29</v>
      </c>
      <c r="K35" s="157" t="s">
        <v>286</v>
      </c>
    </row>
    <row r="36" spans="3:11" x14ac:dyDescent="0.25">
      <c r="C36">
        <f>IF(AND('AES Indiana Sep 23 Bill Calc.'!$D$11&gt;=Inputs!E36,'AES Indiana Sep 23 Bill Calc.'!$D$12&gt;=Inputs!F36,'AES Indiana Sep 23 Bill Calc.'!$D$11&lt;=Inputs!H36,'AES Indiana Sep 23 Bill Calc.'!$D$12&lt;=Inputs!I36,'AES Indiana Sep 23 Bill Calc.'!$D$12-'AES Indiana Sep 23 Bill Calc.'!$D$11&gt;=27,'AES Indiana Sep 23 Bill Calc.'!$D$12-'AES Indiana Sep 23 Bill Calc.'!$D$11&lt;=34),"X",)</f>
        <v>0</v>
      </c>
      <c r="D36" s="160">
        <v>44682</v>
      </c>
      <c r="E36" s="161">
        <v>44650</v>
      </c>
      <c r="F36" s="149">
        <v>44679</v>
      </c>
      <c r="G36" s="64">
        <f t="shared" si="0"/>
        <v>29</v>
      </c>
      <c r="H36" s="149">
        <v>44678</v>
      </c>
      <c r="I36" s="149">
        <v>44708</v>
      </c>
      <c r="J36" s="64">
        <f t="shared" si="1"/>
        <v>30</v>
      </c>
      <c r="K36" s="157" t="s">
        <v>286</v>
      </c>
    </row>
    <row r="37" spans="3:11" x14ac:dyDescent="0.25">
      <c r="C37">
        <f>IF(AND('AES Indiana Sep 23 Bill Calc.'!$D$11&gt;=Inputs!E37,'AES Indiana Sep 23 Bill Calc.'!$D$12&gt;=Inputs!F37,'AES Indiana Sep 23 Bill Calc.'!$D$11&lt;=Inputs!H37,'AES Indiana Sep 23 Bill Calc.'!$D$12&lt;=Inputs!I37,'AES Indiana Sep 23 Bill Calc.'!$D$12-'AES Indiana Sep 23 Bill Calc.'!$D$11&gt;=27,'AES Indiana Sep 23 Bill Calc.'!$D$12-'AES Indiana Sep 23 Bill Calc.'!$D$11&lt;=34),"X",)</f>
        <v>0</v>
      </c>
      <c r="D37" s="160">
        <v>44713</v>
      </c>
      <c r="E37" s="161">
        <v>44679</v>
      </c>
      <c r="F37" s="149">
        <v>44712</v>
      </c>
      <c r="G37" s="64">
        <f t="shared" si="0"/>
        <v>33</v>
      </c>
      <c r="H37" s="149">
        <v>44708</v>
      </c>
      <c r="I37" s="149">
        <v>44741</v>
      </c>
      <c r="J37" s="64">
        <f t="shared" si="1"/>
        <v>33</v>
      </c>
      <c r="K37" s="157" t="s">
        <v>286</v>
      </c>
    </row>
    <row r="38" spans="3:11" x14ac:dyDescent="0.25">
      <c r="C38">
        <f>IF(AND('AES Indiana Sep 23 Bill Calc.'!$D$11&gt;=Inputs!E38,'AES Indiana Sep 23 Bill Calc.'!$D$12&gt;=Inputs!F38,'AES Indiana Sep 23 Bill Calc.'!$D$11&lt;=Inputs!H38,'AES Indiana Sep 23 Bill Calc.'!$D$12&lt;=Inputs!I38,'AES Indiana Sep 23 Bill Calc.'!$D$12-'AES Indiana Sep 23 Bill Calc.'!$D$11&gt;=27,'AES Indiana Sep 23 Bill Calc.'!$D$12-'AES Indiana Sep 23 Bill Calc.'!$D$11&lt;=34),"X",)</f>
        <v>0</v>
      </c>
      <c r="D38" s="160">
        <v>44743</v>
      </c>
      <c r="E38" s="161">
        <v>44712</v>
      </c>
      <c r="F38" s="149">
        <v>44742</v>
      </c>
      <c r="G38" s="64">
        <f t="shared" si="0"/>
        <v>30</v>
      </c>
      <c r="H38" s="149">
        <v>44741</v>
      </c>
      <c r="I38" s="149">
        <v>44770</v>
      </c>
      <c r="J38" s="64">
        <f t="shared" si="1"/>
        <v>29</v>
      </c>
      <c r="K38" s="157" t="s">
        <v>286</v>
      </c>
    </row>
    <row r="39" spans="3:11" x14ac:dyDescent="0.25">
      <c r="C39">
        <f>IF(AND('AES Indiana Sep 23 Bill Calc.'!$D$11&gt;=Inputs!E39,'AES Indiana Sep 23 Bill Calc.'!$D$12&gt;=Inputs!F39,'AES Indiana Sep 23 Bill Calc.'!$D$11&lt;=Inputs!H39,'AES Indiana Sep 23 Bill Calc.'!$D$12&lt;=Inputs!I39,'AES Indiana Sep 23 Bill Calc.'!$D$12-'AES Indiana Sep 23 Bill Calc.'!$D$11&gt;=27,'AES Indiana Sep 23 Bill Calc.'!$D$12-'AES Indiana Sep 23 Bill Calc.'!$D$11&lt;=34),"X",)</f>
        <v>0</v>
      </c>
      <c r="D39" s="160">
        <v>44774</v>
      </c>
      <c r="E39" s="161">
        <v>44742</v>
      </c>
      <c r="F39" s="149">
        <v>44771</v>
      </c>
      <c r="G39" s="64">
        <f t="shared" si="0"/>
        <v>29</v>
      </c>
      <c r="H39" s="149">
        <v>44770</v>
      </c>
      <c r="I39" s="149">
        <v>44802</v>
      </c>
      <c r="J39" s="64">
        <f>I39-H39</f>
        <v>32</v>
      </c>
      <c r="K39" s="157" t="s">
        <v>286</v>
      </c>
    </row>
    <row r="40" spans="3:11" x14ac:dyDescent="0.25">
      <c r="C40">
        <f>IF(AND('AES Indiana Sep 23 Bill Calc.'!$D$11&gt;=Inputs!E40,'AES Indiana Sep 23 Bill Calc.'!$D$12&gt;=Inputs!F40,'AES Indiana Sep 23 Bill Calc.'!$D$11&lt;=Inputs!H40,'AES Indiana Sep 23 Bill Calc.'!$D$12&lt;=Inputs!I40,'AES Indiana Sep 23 Bill Calc.'!$D$12-'AES Indiana Sep 23 Bill Calc.'!$D$11&gt;=27,'AES Indiana Sep 23 Bill Calc.'!$D$12-'AES Indiana Sep 23 Bill Calc.'!$D$11&lt;=34),"X",)</f>
        <v>0</v>
      </c>
      <c r="D40" s="160">
        <v>44805</v>
      </c>
      <c r="E40" s="161">
        <v>44771</v>
      </c>
      <c r="F40" s="149">
        <v>44802</v>
      </c>
      <c r="G40" s="64">
        <f>F40-E40</f>
        <v>31</v>
      </c>
      <c r="H40" s="149">
        <v>44803</v>
      </c>
      <c r="I40" s="149">
        <v>44833</v>
      </c>
      <c r="J40" s="64">
        <f t="shared" si="1"/>
        <v>30</v>
      </c>
      <c r="K40" s="157" t="s">
        <v>286</v>
      </c>
    </row>
    <row r="41" spans="3:11" x14ac:dyDescent="0.25">
      <c r="C41">
        <f>IF(AND('AES Indiana Sep 23 Bill Calc.'!$D$11&gt;=Inputs!E41,'AES Indiana Sep 23 Bill Calc.'!$D$12&gt;=Inputs!F41,'AES Indiana Sep 23 Bill Calc.'!$D$11&lt;=Inputs!H41,'AES Indiana Sep 23 Bill Calc.'!$D$12&lt;=Inputs!I41,'AES Indiana Sep 23 Bill Calc.'!$D$12-'AES Indiana Sep 23 Bill Calc.'!$D$11&gt;=27,'AES Indiana Sep 23 Bill Calc.'!$D$12-'AES Indiana Sep 23 Bill Calc.'!$D$11&lt;=34),"X",)</f>
        <v>0</v>
      </c>
      <c r="D41" s="160">
        <v>44835</v>
      </c>
      <c r="E41" s="161">
        <v>44802</v>
      </c>
      <c r="F41" s="149">
        <v>44834</v>
      </c>
      <c r="G41" s="64">
        <f>F41-E41</f>
        <v>32</v>
      </c>
      <c r="H41" s="149">
        <v>44833</v>
      </c>
      <c r="I41" s="149">
        <v>44862</v>
      </c>
      <c r="J41" s="64">
        <f t="shared" si="1"/>
        <v>29</v>
      </c>
      <c r="K41" s="157" t="s">
        <v>286</v>
      </c>
    </row>
    <row r="42" spans="3:11" x14ac:dyDescent="0.25">
      <c r="C42">
        <f>IF(AND('AES Indiana Sep 23 Bill Calc.'!$D$11&gt;=Inputs!E42,'AES Indiana Sep 23 Bill Calc.'!$D$12&gt;=Inputs!F42,'AES Indiana Sep 23 Bill Calc.'!$D$11&lt;=Inputs!H42,'AES Indiana Sep 23 Bill Calc.'!$D$12&lt;=Inputs!I42,'AES Indiana Sep 23 Bill Calc.'!$D$12-'AES Indiana Sep 23 Bill Calc.'!$D$11&gt;=27,'AES Indiana Sep 23 Bill Calc.'!$D$12-'AES Indiana Sep 23 Bill Calc.'!$D$11&lt;=34),"X",)</f>
        <v>0</v>
      </c>
      <c r="D42" s="160">
        <v>44866</v>
      </c>
      <c r="E42" s="161">
        <v>44834</v>
      </c>
      <c r="F42" s="149">
        <v>44863</v>
      </c>
      <c r="G42" s="64">
        <f t="shared" ref="G42:G51" si="2">F42-E42</f>
        <v>29</v>
      </c>
      <c r="H42" s="149">
        <v>44862</v>
      </c>
      <c r="I42" s="149">
        <v>44894</v>
      </c>
      <c r="J42" s="64">
        <f t="shared" si="1"/>
        <v>32</v>
      </c>
      <c r="K42" s="157" t="s">
        <v>286</v>
      </c>
    </row>
    <row r="43" spans="3:11" x14ac:dyDescent="0.25">
      <c r="C43">
        <f>IF(AND('AES Indiana Sep 23 Bill Calc.'!$D$11&gt;=Inputs!E43,'AES Indiana Sep 23 Bill Calc.'!$D$12&gt;=Inputs!F43,'AES Indiana Sep 23 Bill Calc.'!$D$11&lt;=Inputs!H43,'AES Indiana Sep 23 Bill Calc.'!$D$12&lt;=Inputs!I43,'AES Indiana Sep 23 Bill Calc.'!$D$12-'AES Indiana Sep 23 Bill Calc.'!$D$11&gt;=27,'AES Indiana Sep 23 Bill Calc.'!$D$12-'AES Indiana Sep 23 Bill Calc.'!$D$11&lt;=34),"X",)</f>
        <v>0</v>
      </c>
      <c r="D43" s="160">
        <v>44896</v>
      </c>
      <c r="E43" s="161">
        <v>44863</v>
      </c>
      <c r="F43" s="149">
        <v>44895</v>
      </c>
      <c r="G43" s="64">
        <f t="shared" si="2"/>
        <v>32</v>
      </c>
      <c r="H43" s="149">
        <v>44894</v>
      </c>
      <c r="I43" s="149">
        <v>44924</v>
      </c>
      <c r="J43" s="64">
        <f t="shared" si="1"/>
        <v>30</v>
      </c>
      <c r="K43" s="157" t="s">
        <v>286</v>
      </c>
    </row>
    <row r="44" spans="3:11" x14ac:dyDescent="0.25">
      <c r="C44">
        <f>IF(AND('AES Indiana Sep 23 Bill Calc.'!$D$11&gt;=Inputs!E44,'AES Indiana Sep 23 Bill Calc.'!$D$12&gt;=Inputs!F44,'AES Indiana Sep 23 Bill Calc.'!$D$11&lt;=Inputs!H44,'AES Indiana Sep 23 Bill Calc.'!$D$12&lt;=Inputs!I44,'AES Indiana Sep 23 Bill Calc.'!$D$12-'AES Indiana Sep 23 Bill Calc.'!$D$11&gt;=27,'AES Indiana Sep 23 Bill Calc.'!$D$12-'AES Indiana Sep 23 Bill Calc.'!$D$11&lt;=34),"X",)</f>
        <v>0</v>
      </c>
      <c r="D44" s="160">
        <v>44927</v>
      </c>
      <c r="E44" s="161">
        <v>44895</v>
      </c>
      <c r="F44" s="149">
        <v>44925</v>
      </c>
      <c r="G44" s="64">
        <f t="shared" si="2"/>
        <v>30</v>
      </c>
      <c r="H44" s="149">
        <f>F44</f>
        <v>44925</v>
      </c>
      <c r="I44" s="149">
        <v>44956</v>
      </c>
      <c r="J44" s="64">
        <f t="shared" si="1"/>
        <v>31</v>
      </c>
      <c r="K44" s="157" t="s">
        <v>286</v>
      </c>
    </row>
    <row r="45" spans="3:11" x14ac:dyDescent="0.25">
      <c r="C45">
        <f>IF(AND('AES Indiana Sep 23 Bill Calc.'!$D$11&gt;=Inputs!E45,'AES Indiana Sep 23 Bill Calc.'!$D$12&gt;=Inputs!F45,'AES Indiana Sep 23 Bill Calc.'!$D$11&lt;=Inputs!H45,'AES Indiana Sep 23 Bill Calc.'!$D$12&lt;=Inputs!I45,'AES Indiana Sep 23 Bill Calc.'!$D$12-'AES Indiana Sep 23 Bill Calc.'!$D$11&gt;=27,'AES Indiana Sep 23 Bill Calc.'!$D$12-'AES Indiana Sep 23 Bill Calc.'!$D$11&lt;=34),"X",)</f>
        <v>0</v>
      </c>
      <c r="D45" s="160">
        <v>44958</v>
      </c>
      <c r="E45" s="161">
        <f>F44</f>
        <v>44925</v>
      </c>
      <c r="F45" s="159">
        <v>44957</v>
      </c>
      <c r="G45" s="64">
        <f t="shared" si="2"/>
        <v>32</v>
      </c>
      <c r="H45" s="149">
        <f>I44</f>
        <v>44956</v>
      </c>
      <c r="I45" s="149">
        <v>44984</v>
      </c>
      <c r="J45" s="64">
        <f t="shared" si="1"/>
        <v>28</v>
      </c>
      <c r="K45" s="157" t="s">
        <v>286</v>
      </c>
    </row>
    <row r="46" spans="3:11" x14ac:dyDescent="0.25">
      <c r="C46">
        <f>IF(AND('AES Indiana Sep 23 Bill Calc.'!$D$11&gt;=Inputs!E46,'AES Indiana Sep 23 Bill Calc.'!$D$12&gt;=Inputs!F46,'AES Indiana Sep 23 Bill Calc.'!$D$11&lt;=Inputs!H46,'AES Indiana Sep 23 Bill Calc.'!$D$12&lt;=Inputs!I46,'AES Indiana Sep 23 Bill Calc.'!$D$12-'AES Indiana Sep 23 Bill Calc.'!$D$11&gt;=27,'AES Indiana Sep 23 Bill Calc.'!$D$12-'AES Indiana Sep 23 Bill Calc.'!$D$11&lt;=34),"X",)</f>
        <v>0</v>
      </c>
      <c r="D46" s="160">
        <v>44986</v>
      </c>
      <c r="E46" s="161">
        <f>F45</f>
        <v>44957</v>
      </c>
      <c r="F46" s="149">
        <v>44985</v>
      </c>
      <c r="G46" s="64">
        <f t="shared" si="2"/>
        <v>28</v>
      </c>
      <c r="H46" s="149">
        <f>I45</f>
        <v>44984</v>
      </c>
      <c r="I46" s="149">
        <v>45014</v>
      </c>
      <c r="J46" s="64">
        <f t="shared" si="1"/>
        <v>30</v>
      </c>
      <c r="K46" s="157" t="s">
        <v>305</v>
      </c>
    </row>
    <row r="47" spans="3:11" x14ac:dyDescent="0.25">
      <c r="C47">
        <f>IF(AND('AES Indiana Sep 23 Bill Calc.'!$D$11&gt;=Inputs!E47,'AES Indiana Sep 23 Bill Calc.'!$D$12&gt;=Inputs!F47,'AES Indiana Sep 23 Bill Calc.'!$D$11&lt;=Inputs!H47,'AES Indiana Sep 23 Bill Calc.'!$D$12&lt;=Inputs!I47,'AES Indiana Sep 23 Bill Calc.'!$D$12-'AES Indiana Sep 23 Bill Calc.'!$D$11&gt;=27,'AES Indiana Sep 23 Bill Calc.'!$D$12-'AES Indiana Sep 23 Bill Calc.'!$D$11&lt;=34),"X",)</f>
        <v>0</v>
      </c>
      <c r="D47" s="160">
        <v>45017</v>
      </c>
      <c r="E47" s="161">
        <v>44985</v>
      </c>
      <c r="F47" s="149">
        <v>45015</v>
      </c>
      <c r="G47" s="64">
        <f t="shared" si="2"/>
        <v>30</v>
      </c>
      <c r="H47" s="149">
        <v>45014</v>
      </c>
      <c r="I47" s="149">
        <v>45043</v>
      </c>
      <c r="J47" s="64">
        <f t="shared" si="1"/>
        <v>29</v>
      </c>
      <c r="K47" s="157" t="s">
        <v>306</v>
      </c>
    </row>
    <row r="48" spans="3:11" x14ac:dyDescent="0.25">
      <c r="C48">
        <f>IF(AND('AES Indiana Sep 23 Bill Calc.'!$D$11&gt;=Inputs!E48,'AES Indiana Sep 23 Bill Calc.'!$D$12&gt;=Inputs!F48,'AES Indiana Sep 23 Bill Calc.'!$D$11&lt;=Inputs!H48,'AES Indiana Sep 23 Bill Calc.'!$D$12&lt;=Inputs!I48,'AES Indiana Sep 23 Bill Calc.'!$D$12-'AES Indiana Sep 23 Bill Calc.'!$D$11&gt;=27,'AES Indiana Sep 23 Bill Calc.'!$D$12-'AES Indiana Sep 23 Bill Calc.'!$D$11&lt;=34),"X",)</f>
        <v>0</v>
      </c>
      <c r="D48" s="160">
        <v>45047</v>
      </c>
      <c r="E48" s="161">
        <v>45015</v>
      </c>
      <c r="F48" s="149">
        <v>45044</v>
      </c>
      <c r="G48" s="64">
        <f t="shared" si="2"/>
        <v>29</v>
      </c>
      <c r="H48" s="149">
        <v>45043</v>
      </c>
      <c r="I48" s="149">
        <v>45076</v>
      </c>
      <c r="J48" s="64">
        <f t="shared" si="1"/>
        <v>33</v>
      </c>
      <c r="K48" s="157" t="s">
        <v>307</v>
      </c>
    </row>
    <row r="49" spans="3:11" x14ac:dyDescent="0.25">
      <c r="C49">
        <f>IF(AND('AES Indiana Sep 23 Bill Calc.'!$D$11&gt;=Inputs!E49,'AES Indiana Sep 23 Bill Calc.'!$D$12&gt;=Inputs!F49,'AES Indiana Sep 23 Bill Calc.'!$D$11&lt;=Inputs!H49,'AES Indiana Sep 23 Bill Calc.'!$D$12&lt;=Inputs!I49,'AES Indiana Sep 23 Bill Calc.'!$D$12-'AES Indiana Sep 23 Bill Calc.'!$D$11&gt;=27,'AES Indiana Sep 23 Bill Calc.'!$D$12-'AES Indiana Sep 23 Bill Calc.'!$D$11&lt;=34),"X",)</f>
        <v>0</v>
      </c>
      <c r="D49" s="160">
        <v>45078</v>
      </c>
      <c r="E49" s="161">
        <v>45044</v>
      </c>
      <c r="F49" s="149">
        <v>45077</v>
      </c>
      <c r="G49" s="64">
        <f t="shared" si="2"/>
        <v>33</v>
      </c>
      <c r="H49" s="149">
        <f>I48</f>
        <v>45076</v>
      </c>
      <c r="I49" s="149">
        <v>45106</v>
      </c>
      <c r="J49" s="64">
        <f t="shared" si="1"/>
        <v>30</v>
      </c>
      <c r="K49" s="157" t="s">
        <v>310</v>
      </c>
    </row>
    <row r="50" spans="3:11" x14ac:dyDescent="0.25">
      <c r="C50">
        <f>IF(AND('AES Indiana Sep 23 Bill Calc.'!$D$11&gt;=Inputs!E50,'AES Indiana Sep 23 Bill Calc.'!$D$12&gt;=Inputs!F50,'AES Indiana Sep 23 Bill Calc.'!$D$11&lt;=Inputs!H50,'AES Indiana Sep 23 Bill Calc.'!$D$12&lt;=Inputs!I50,'AES Indiana Sep 23 Bill Calc.'!$D$12-'AES Indiana Sep 23 Bill Calc.'!$D$11&gt;=27,'AES Indiana Sep 23 Bill Calc.'!$D$12-'AES Indiana Sep 23 Bill Calc.'!$D$11&lt;=34),"X",)</f>
        <v>0</v>
      </c>
      <c r="D50" s="160">
        <v>45108</v>
      </c>
      <c r="E50" s="161">
        <v>45077</v>
      </c>
      <c r="F50" s="149">
        <v>45107</v>
      </c>
      <c r="G50" s="64">
        <f t="shared" si="2"/>
        <v>30</v>
      </c>
      <c r="H50" s="149">
        <v>45106</v>
      </c>
      <c r="I50" s="149">
        <v>45135</v>
      </c>
      <c r="J50" s="64">
        <f t="shared" si="1"/>
        <v>29</v>
      </c>
      <c r="K50" s="157" t="s">
        <v>311</v>
      </c>
    </row>
    <row r="51" spans="3:11" x14ac:dyDescent="0.25">
      <c r="C51">
        <f>IF(AND('AES Indiana Sep 23 Bill Calc.'!$D$11&gt;=Inputs!E51,'AES Indiana Sep 23 Bill Calc.'!$D$12&gt;=Inputs!F51,'AES Indiana Sep 23 Bill Calc.'!$D$11&lt;=Inputs!H51,'AES Indiana Sep 23 Bill Calc.'!$D$12&lt;=Inputs!I51,'AES Indiana Sep 23 Bill Calc.'!$D$12-'AES Indiana Sep 23 Bill Calc.'!$D$11&gt;=27,'AES Indiana Sep 23 Bill Calc.'!$D$12-'AES Indiana Sep 23 Bill Calc.'!$D$11&lt;=34),"X",)</f>
        <v>0</v>
      </c>
      <c r="D51" s="160">
        <v>45139</v>
      </c>
      <c r="E51" s="161">
        <v>45107</v>
      </c>
      <c r="F51" s="149">
        <v>45138</v>
      </c>
      <c r="G51" s="64">
        <f t="shared" si="2"/>
        <v>31</v>
      </c>
      <c r="H51" s="149">
        <v>45135</v>
      </c>
      <c r="I51" s="149">
        <v>45168</v>
      </c>
      <c r="J51" s="64">
        <f>I51-H51</f>
        <v>33</v>
      </c>
      <c r="K51" s="157" t="s">
        <v>312</v>
      </c>
    </row>
    <row r="52" spans="3:11" x14ac:dyDescent="0.25">
      <c r="C52">
        <f>IF(AND('AES Indiana Sep 23 Bill Calc.'!$D$11&gt;=Inputs!E52,'AES Indiana Sep 23 Bill Calc.'!$D$12&gt;=Inputs!F52,'AES Indiana Sep 23 Bill Calc.'!$D$11&lt;=Inputs!H52,'AES Indiana Sep 23 Bill Calc.'!$D$12&lt;=Inputs!I52,'AES Indiana Sep 23 Bill Calc.'!$D$12-'AES Indiana Sep 23 Bill Calc.'!$D$11&gt;=27,'AES Indiana Sep 23 Bill Calc.'!$D$12-'AES Indiana Sep 23 Bill Calc.'!$D$11&lt;=34),"X",)</f>
        <v>0</v>
      </c>
      <c r="D52" s="160">
        <v>45170</v>
      </c>
      <c r="E52" s="161">
        <v>45138</v>
      </c>
      <c r="F52" s="149">
        <v>45169</v>
      </c>
      <c r="G52" s="64">
        <f>F52-E52</f>
        <v>31</v>
      </c>
      <c r="H52" s="149">
        <v>45168</v>
      </c>
      <c r="I52" s="149">
        <v>45197</v>
      </c>
      <c r="J52" s="64">
        <f t="shared" ref="J52:J55" si="3">I52-H52</f>
        <v>29</v>
      </c>
      <c r="K52" s="157" t="str">
        <f>E26</f>
        <v>You are using the correct bill calculator. Please enter your billing information below.</v>
      </c>
    </row>
    <row r="53" spans="3:11" x14ac:dyDescent="0.25">
      <c r="C53">
        <f>IF(AND('AES Indiana Sep 23 Bill Calc.'!$D$11&gt;=Inputs!E53,'AES Indiana Sep 23 Bill Calc.'!$D$12&gt;=Inputs!F53,'AES Indiana Sep 23 Bill Calc.'!$D$11&lt;=Inputs!H53,'AES Indiana Sep 23 Bill Calc.'!$D$12&lt;=Inputs!I53,'AES Indiana Sep 23 Bill Calc.'!$D$12-'AES Indiana Sep 23 Bill Calc.'!$D$11&gt;=27,'AES Indiana Sep 23 Bill Calc.'!$D$12-'AES Indiana Sep 23 Bill Calc.'!$D$11&lt;=34),"X",)</f>
        <v>0</v>
      </c>
      <c r="D53" s="160">
        <v>45200</v>
      </c>
      <c r="E53" s="161">
        <f>F52</f>
        <v>45169</v>
      </c>
      <c r="F53" s="149">
        <v>45198</v>
      </c>
      <c r="G53" s="64">
        <f>F53-E53</f>
        <v>29</v>
      </c>
      <c r="H53" s="149">
        <v>45197</v>
      </c>
      <c r="I53" s="149">
        <v>45229</v>
      </c>
      <c r="J53" s="64">
        <f t="shared" si="3"/>
        <v>32</v>
      </c>
      <c r="K53" s="157" t="s">
        <v>289</v>
      </c>
    </row>
    <row r="54" spans="3:11" x14ac:dyDescent="0.25">
      <c r="C54">
        <f>IF(AND('AES Indiana Sep 23 Bill Calc.'!$D$11&gt;=Inputs!E54,'AES Indiana Sep 23 Bill Calc.'!$D$12&gt;=Inputs!F54,'AES Indiana Sep 23 Bill Calc.'!$D$11&lt;=Inputs!H54,'AES Indiana Sep 23 Bill Calc.'!$D$12&lt;=Inputs!I54,'AES Indiana Sep 23 Bill Calc.'!$D$12-'AES Indiana Sep 23 Bill Calc.'!$D$11&gt;=27,'AES Indiana Sep 23 Bill Calc.'!$D$12-'AES Indiana Sep 23 Bill Calc.'!$D$11&lt;=34),"X",)</f>
        <v>0</v>
      </c>
      <c r="D54" s="160">
        <v>45231</v>
      </c>
      <c r="E54" s="161">
        <v>45198</v>
      </c>
      <c r="F54" s="149">
        <v>45230</v>
      </c>
      <c r="G54" s="64">
        <f t="shared" ref="G54:G55" si="4">F54-E54</f>
        <v>32</v>
      </c>
      <c r="H54" s="149">
        <v>45229</v>
      </c>
      <c r="I54" s="149">
        <v>45259</v>
      </c>
      <c r="J54" s="64">
        <f t="shared" si="3"/>
        <v>30</v>
      </c>
      <c r="K54" s="157" t="s">
        <v>290</v>
      </c>
    </row>
    <row r="55" spans="3:11" x14ac:dyDescent="0.25">
      <c r="C55">
        <f>IF(AND('AES Indiana Sep 23 Bill Calc.'!$D$11&gt;=Inputs!E55,'AES Indiana Sep 23 Bill Calc.'!$D$12&gt;=Inputs!F55,'AES Indiana Sep 23 Bill Calc.'!$D$11&lt;=Inputs!H55,'AES Indiana Sep 23 Bill Calc.'!$D$12&lt;=Inputs!I55,'AES Indiana Sep 23 Bill Calc.'!$D$12-'AES Indiana Sep 23 Bill Calc.'!$D$11&gt;=27,'AES Indiana Sep 23 Bill Calc.'!$D$12-'AES Indiana Sep 23 Bill Calc.'!$D$11&lt;=34),"X",)</f>
        <v>0</v>
      </c>
      <c r="D55" s="160">
        <v>45261</v>
      </c>
      <c r="E55" s="161">
        <f>F54</f>
        <v>45230</v>
      </c>
      <c r="F55" s="149">
        <v>45260</v>
      </c>
      <c r="G55" s="64">
        <f t="shared" si="4"/>
        <v>30</v>
      </c>
      <c r="H55" s="149">
        <v>45259</v>
      </c>
      <c r="I55" s="149">
        <v>45288</v>
      </c>
      <c r="J55" s="64">
        <f t="shared" si="3"/>
        <v>29</v>
      </c>
      <c r="K55" s="157" t="s">
        <v>291</v>
      </c>
    </row>
    <row r="56" spans="3:11" x14ac:dyDescent="0.25">
      <c r="C56">
        <f>IF('AES Indiana Sep 23 Bill Calc.'!$D$12&lt;'AES Indiana Sep 23 Bill Calc.'!$D$11,"X",)</f>
        <v>0</v>
      </c>
      <c r="D56" s="157" t="s">
        <v>275</v>
      </c>
      <c r="K56" s="157" t="s">
        <v>283</v>
      </c>
    </row>
    <row r="57" spans="3:11" x14ac:dyDescent="0.25">
      <c r="C57">
        <f>IF(AND('AES Indiana Sep 23 Bill Calc.'!$D$12-'AES Indiana Sep 23 Bill Calc.'!$D$11&lt;27,'AES Indiana Sep 23 Bill Calc.'!$D$11&lt;&gt;"", 'AES Indiana Sep 23 Bill Calc.'!$D$12&lt;&gt;"",'AES Indiana Sep 23 Bill Calc.'!$D$12-'AES Indiana Sep 23 Bill Calc.'!$D$11&gt;=0),"X",)</f>
        <v>0</v>
      </c>
      <c r="D57" s="157" t="s">
        <v>273</v>
      </c>
      <c r="G57">
        <v>27</v>
      </c>
      <c r="K57" s="157" t="s">
        <v>281</v>
      </c>
    </row>
    <row r="58" spans="3:11" x14ac:dyDescent="0.25">
      <c r="C58">
        <f>IF(AND('AES Indiana Sep 23 Bill Calc.'!$D$12-'AES Indiana Sep 23 Bill Calc.'!$D$11&gt;34,'AES Indiana Sep 23 Bill Calc.'!$D$11&lt;&gt;"", 'AES Indiana Sep 23 Bill Calc.'!$D$12&lt;&gt;""),"X",)</f>
        <v>0</v>
      </c>
      <c r="D58" s="157" t="s">
        <v>274</v>
      </c>
      <c r="G58">
        <v>35</v>
      </c>
      <c r="K58" s="157" t="s">
        <v>282</v>
      </c>
    </row>
    <row r="59" spans="3:11" x14ac:dyDescent="0.25">
      <c r="C59" t="str">
        <f>IF(OR('AES Indiana Sep 23 Bill Calc.'!D11="",'AES Indiana Sep 23 Bill Calc.'!D12=""),"X",)</f>
        <v>X</v>
      </c>
      <c r="D59" s="157" t="s">
        <v>284</v>
      </c>
    </row>
    <row r="60" spans="3:11" x14ac:dyDescent="0.25">
      <c r="C60">
        <f>IF(OR(C32="X",C33="X",C34="X",C35="X",C36="X",C37="X",C38="X",C39="X",C40="X",C41="X",C42="X",C43="X",C44="X",C45="X",C46="X",C47="X",C48="X",C49="X",C50="X",C51="X",C52="X",C53="X",C54="X",C55="X",C57="X",C58="X",C56="X",C59="X"),0,"X")</f>
        <v>0</v>
      </c>
      <c r="D60" s="157" t="s">
        <v>287</v>
      </c>
      <c r="K60" s="157" t="s">
        <v>304</v>
      </c>
    </row>
    <row r="63" spans="3:11" x14ac:dyDescent="0.25">
      <c r="D63" s="251" t="e">
        <f>IF(AND(G61&gt;=Inputs!$E$40,G62&gt;=Inputs!I90,G62&lt;=Inputs!I91,G61&lt;=Inputs!K90,'AES Indiana Sep 23 Bill Calc.'!#REF!&lt;=Inputs!L90,G62-G61&lt;=34,G62-G61&gt;=26),Inputs!H76,)</f>
        <v>#REF!</v>
      </c>
      <c r="E63" s="251"/>
      <c r="F63" s="251"/>
      <c r="G63" s="251"/>
    </row>
  </sheetData>
  <mergeCells count="6">
    <mergeCell ref="D63:G63"/>
    <mergeCell ref="E2:F2"/>
    <mergeCell ref="E7:F7"/>
    <mergeCell ref="E30:G30"/>
    <mergeCell ref="C29:K29"/>
    <mergeCell ref="H30:J30"/>
  </mergeCells>
  <phoneticPr fontId="3"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078"/>
  <sheetViews>
    <sheetView topLeftCell="H1" zoomScaleNormal="100" workbookViewId="0">
      <selection activeCell="R4" sqref="R4"/>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75"/>
      <c r="D1" s="76"/>
      <c r="J1" s="110"/>
      <c r="M1" s="12">
        <v>21</v>
      </c>
      <c r="N1" s="12"/>
      <c r="O1" s="12"/>
      <c r="P1" s="12"/>
      <c r="Q1" s="12"/>
      <c r="R1" s="12">
        <v>6</v>
      </c>
      <c r="S1" s="12">
        <v>3</v>
      </c>
      <c r="T1" s="12">
        <v>22</v>
      </c>
      <c r="U1" s="12">
        <v>13</v>
      </c>
      <c r="V1" s="12">
        <v>20</v>
      </c>
      <c r="W1" s="12">
        <v>24</v>
      </c>
      <c r="X1" s="12">
        <v>25</v>
      </c>
      <c r="Y1" s="12">
        <v>26</v>
      </c>
      <c r="Z1" s="54"/>
      <c r="AA1" s="103"/>
    </row>
    <row r="2" spans="1:27" ht="13.5" thickBot="1" x14ac:dyDescent="0.35">
      <c r="B2" s="257" t="s">
        <v>313</v>
      </c>
      <c r="C2" s="258"/>
      <c r="D2" s="258"/>
      <c r="E2" s="259"/>
      <c r="F2" s="45"/>
      <c r="M2" s="13" t="s">
        <v>70</v>
      </c>
      <c r="N2" s="13"/>
      <c r="O2" s="13"/>
      <c r="P2" s="13"/>
      <c r="Q2" s="13"/>
      <c r="R2" s="13" t="s">
        <v>9</v>
      </c>
      <c r="S2" s="80" t="s">
        <v>161</v>
      </c>
      <c r="T2" s="13" t="s">
        <v>79</v>
      </c>
      <c r="U2" s="13" t="s">
        <v>10</v>
      </c>
      <c r="V2" s="13" t="s">
        <v>11</v>
      </c>
      <c r="W2" s="80" t="s">
        <v>104</v>
      </c>
      <c r="X2" s="80" t="s">
        <v>105</v>
      </c>
      <c r="Y2" s="80" t="s">
        <v>106</v>
      </c>
      <c r="Z2" s="77" t="s">
        <v>71</v>
      </c>
      <c r="AA2" s="104"/>
    </row>
    <row r="3" spans="1:27" x14ac:dyDescent="0.25">
      <c r="A3" s="1"/>
      <c r="B3" s="7"/>
      <c r="C3" s="41"/>
      <c r="D3" s="41"/>
      <c r="F3" s="45"/>
      <c r="L3" t="s">
        <v>0</v>
      </c>
      <c r="M3" s="145">
        <v>3.0000000000000001E-3</v>
      </c>
      <c r="N3" s="145"/>
      <c r="O3" s="145"/>
      <c r="P3" s="145"/>
      <c r="Q3" s="145"/>
      <c r="R3" s="145">
        <v>-3.1020000000000002E-3</v>
      </c>
      <c r="S3" s="145">
        <v>3.5140000000000002E-3</v>
      </c>
      <c r="T3" s="145">
        <v>4.5189999999999996E-3</v>
      </c>
      <c r="U3" s="146">
        <v>0</v>
      </c>
      <c r="V3" s="145">
        <v>7.2300000000000001E-4</v>
      </c>
      <c r="W3" s="145">
        <v>1.8860000000000001E-3</v>
      </c>
      <c r="X3" s="145">
        <v>-1.346E-3</v>
      </c>
      <c r="Y3" s="145">
        <v>2.7799999999999998E-4</v>
      </c>
      <c r="Z3" s="19">
        <f>SUM(S3:Y3)</f>
        <v>9.5740000000000009E-3</v>
      </c>
      <c r="AA3" s="19"/>
    </row>
    <row r="4" spans="1:27" x14ac:dyDescent="0.25">
      <c r="B4" s="1"/>
      <c r="C4" s="41"/>
      <c r="D4" s="41"/>
      <c r="F4" s="45"/>
      <c r="L4" t="s">
        <v>44</v>
      </c>
      <c r="M4" s="19">
        <f>+M3</f>
        <v>3.0000000000000001E-3</v>
      </c>
      <c r="N4" s="19"/>
      <c r="O4" s="19"/>
      <c r="P4" s="19"/>
      <c r="Q4" s="19"/>
      <c r="R4" s="19">
        <f>+R3</f>
        <v>-3.1020000000000002E-3</v>
      </c>
      <c r="S4" s="145">
        <v>3.0219999999999999E-3</v>
      </c>
      <c r="T4" s="145">
        <v>7.5160000000000001E-3</v>
      </c>
      <c r="U4" s="146">
        <v>0</v>
      </c>
      <c r="V4" s="145">
        <v>6.9700000000000003E-4</v>
      </c>
      <c r="W4" s="145">
        <v>1.807E-3</v>
      </c>
      <c r="X4" s="145">
        <v>-1.258E-3</v>
      </c>
      <c r="Y4" s="145">
        <v>2.7999999999999998E-4</v>
      </c>
      <c r="Z4" s="19">
        <f>SUM(S4:Y4)</f>
        <v>1.2064E-2</v>
      </c>
      <c r="AA4" s="19"/>
    </row>
    <row r="5" spans="1:27" x14ac:dyDescent="0.25">
      <c r="A5" s="45"/>
      <c r="B5" s="1"/>
      <c r="C5" s="41"/>
      <c r="D5" s="41"/>
      <c r="F5" s="45"/>
      <c r="K5" t="s">
        <v>80</v>
      </c>
      <c r="L5" t="s">
        <v>45</v>
      </c>
      <c r="M5" s="19">
        <f>+M4</f>
        <v>3.0000000000000001E-3</v>
      </c>
      <c r="N5" s="19"/>
      <c r="O5" s="19"/>
      <c r="P5" s="19"/>
      <c r="Q5" s="19"/>
      <c r="R5" s="19">
        <f>+R4</f>
        <v>-3.1020000000000002E-3</v>
      </c>
      <c r="S5" s="145">
        <v>1.9350000000000001E-3</v>
      </c>
      <c r="T5" s="145">
        <v>6.1199999999999996E-3</v>
      </c>
      <c r="U5" s="146">
        <v>0</v>
      </c>
      <c r="V5" s="126">
        <v>6.6500000000000001E-4</v>
      </c>
      <c r="W5" s="126">
        <v>1.784E-3</v>
      </c>
      <c r="X5" s="126">
        <v>-1.1180000000000001E-3</v>
      </c>
      <c r="Y5" s="126">
        <v>2.7E-4</v>
      </c>
      <c r="Z5" s="19">
        <f>SUM(S5:Y5)</f>
        <v>9.6559999999999979E-3</v>
      </c>
      <c r="AA5" s="19"/>
    </row>
    <row r="6" spans="1:27" x14ac:dyDescent="0.25">
      <c r="A6" s="45"/>
      <c r="B6" s="1"/>
      <c r="C6" s="41"/>
      <c r="D6" s="41"/>
      <c r="F6" s="45"/>
      <c r="J6" s="30" t="s">
        <v>97</v>
      </c>
      <c r="K6" t="s">
        <v>91</v>
      </c>
      <c r="L6" t="s">
        <v>44</v>
      </c>
      <c r="M6" s="19"/>
      <c r="N6" s="19"/>
      <c r="O6" s="19"/>
      <c r="P6" s="19"/>
      <c r="Q6" s="19"/>
      <c r="R6" s="19"/>
      <c r="S6" s="145"/>
      <c r="T6" s="145">
        <v>0</v>
      </c>
      <c r="U6" s="146">
        <v>0</v>
      </c>
      <c r="V6" s="126"/>
      <c r="W6" s="126"/>
      <c r="X6" s="126"/>
      <c r="Y6" s="81"/>
      <c r="Z6" s="19">
        <f>SUM(S6:Y6)</f>
        <v>0</v>
      </c>
      <c r="AA6" s="19"/>
    </row>
    <row r="7" spans="1:27" x14ac:dyDescent="0.25">
      <c r="A7" s="45"/>
      <c r="B7" s="1"/>
      <c r="C7" s="41"/>
      <c r="D7" s="41"/>
      <c r="F7" s="45"/>
      <c r="J7" s="30"/>
      <c r="M7" s="19"/>
      <c r="N7" s="19"/>
      <c r="O7" s="19"/>
      <c r="P7" s="19"/>
      <c r="Q7" s="19"/>
      <c r="R7" s="19"/>
      <c r="S7" s="145"/>
      <c r="T7" s="145"/>
      <c r="U7" s="146"/>
      <c r="V7" s="126"/>
      <c r="W7" s="126"/>
      <c r="X7" s="126"/>
      <c r="Y7" s="81"/>
      <c r="Z7" s="19"/>
      <c r="AA7" s="19"/>
    </row>
    <row r="8" spans="1:27" x14ac:dyDescent="0.25">
      <c r="A8" s="45"/>
      <c r="B8" s="1"/>
      <c r="C8" s="41"/>
      <c r="D8" s="41"/>
      <c r="F8" s="45"/>
      <c r="J8" s="30" t="s">
        <v>97</v>
      </c>
      <c r="K8" t="s">
        <v>91</v>
      </c>
      <c r="L8" t="s">
        <v>45</v>
      </c>
      <c r="M8" s="19"/>
      <c r="N8" s="19"/>
      <c r="O8" s="19"/>
      <c r="P8" s="19"/>
      <c r="Q8" s="19"/>
      <c r="R8" s="19"/>
      <c r="S8" s="145"/>
      <c r="T8" s="145">
        <v>0</v>
      </c>
      <c r="U8" s="146">
        <v>0</v>
      </c>
      <c r="V8" s="126"/>
      <c r="W8" s="126"/>
      <c r="X8" s="126"/>
      <c r="Y8" s="81"/>
      <c r="Z8" s="19">
        <f>SUM(S8:Y8)</f>
        <v>0</v>
      </c>
      <c r="AA8" s="19"/>
    </row>
    <row r="9" spans="1:27" x14ac:dyDescent="0.25">
      <c r="A9" s="45"/>
      <c r="B9" s="1"/>
      <c r="C9" s="41"/>
      <c r="D9" s="41"/>
      <c r="F9" s="45"/>
      <c r="J9" s="30" t="s">
        <v>98</v>
      </c>
      <c r="K9" t="s">
        <v>92</v>
      </c>
      <c r="L9" t="s">
        <v>44</v>
      </c>
      <c r="M9" s="19"/>
      <c r="N9" s="19"/>
      <c r="O9" s="19"/>
      <c r="P9" s="19"/>
      <c r="Q9" s="19"/>
      <c r="R9" s="19"/>
      <c r="S9" s="145"/>
      <c r="T9" s="145">
        <v>0</v>
      </c>
      <c r="U9" s="146">
        <v>0</v>
      </c>
      <c r="V9" s="126"/>
      <c r="W9" s="126"/>
      <c r="X9" s="126"/>
      <c r="Y9" s="81"/>
      <c r="Z9" s="19">
        <f>SUM(S9:Y9)</f>
        <v>0</v>
      </c>
      <c r="AA9" s="19"/>
    </row>
    <row r="10" spans="1:27" x14ac:dyDescent="0.25">
      <c r="A10" s="45"/>
      <c r="B10" s="1"/>
      <c r="C10" s="41"/>
      <c r="D10" s="41"/>
      <c r="F10" s="45"/>
      <c r="J10" s="30" t="s">
        <v>98</v>
      </c>
      <c r="K10" t="s">
        <v>92</v>
      </c>
      <c r="L10" t="s">
        <v>45</v>
      </c>
      <c r="M10" s="19"/>
      <c r="N10" s="19"/>
      <c r="O10" s="19"/>
      <c r="P10" s="19"/>
      <c r="Q10" s="19"/>
      <c r="R10" s="19"/>
      <c r="S10" s="145"/>
      <c r="T10" s="145">
        <v>0</v>
      </c>
      <c r="U10" s="146">
        <v>0</v>
      </c>
      <c r="V10" s="126"/>
      <c r="W10" s="126"/>
      <c r="X10" s="126"/>
      <c r="Y10" s="81"/>
      <c r="Z10" s="19">
        <f>SUM(S10:Y10)</f>
        <v>0</v>
      </c>
      <c r="AA10" s="19"/>
    </row>
    <row r="11" spans="1:27" x14ac:dyDescent="0.25">
      <c r="A11" s="45"/>
      <c r="B11" s="1"/>
      <c r="C11" s="41"/>
      <c r="D11" s="41"/>
      <c r="F11" s="45"/>
      <c r="J11" s="30" t="s">
        <v>99</v>
      </c>
      <c r="K11" s="30" t="s">
        <v>96</v>
      </c>
      <c r="L11" t="s">
        <v>44</v>
      </c>
      <c r="M11" s="19"/>
      <c r="N11" s="19"/>
      <c r="O11" s="19"/>
      <c r="P11" s="19"/>
      <c r="Q11" s="19"/>
      <c r="R11" s="19"/>
      <c r="S11" s="145"/>
      <c r="T11" s="145">
        <v>0</v>
      </c>
      <c r="U11" s="146">
        <v>0</v>
      </c>
      <c r="V11" s="126"/>
      <c r="W11" s="126"/>
      <c r="X11" s="126"/>
      <c r="Y11" s="81"/>
      <c r="Z11" s="19">
        <f>SUM($S$4, T11, $U$4:$Y$4)</f>
        <v>4.5479999999999991E-3</v>
      </c>
      <c r="AA11" s="19"/>
    </row>
    <row r="12" spans="1:27" x14ac:dyDescent="0.25">
      <c r="A12" s="45"/>
      <c r="B12" s="1"/>
      <c r="C12" s="41"/>
      <c r="D12" s="41"/>
      <c r="F12" s="45"/>
      <c r="J12" s="30" t="s">
        <v>99</v>
      </c>
      <c r="K12" s="30" t="s">
        <v>96</v>
      </c>
      <c r="L12" t="s">
        <v>45</v>
      </c>
      <c r="M12" s="19"/>
      <c r="N12" s="19"/>
      <c r="O12" s="19"/>
      <c r="P12" s="19"/>
      <c r="Q12" s="19"/>
      <c r="R12" s="19"/>
      <c r="S12" s="145"/>
      <c r="T12" s="145">
        <v>0</v>
      </c>
      <c r="U12" s="146">
        <v>0</v>
      </c>
      <c r="V12" s="126"/>
      <c r="W12" s="126"/>
      <c r="X12" s="126"/>
      <c r="Y12" s="81"/>
      <c r="Z12" s="19">
        <f>SUM($S$5, T12, $U$5:$Y$5)</f>
        <v>3.5359999999999996E-3</v>
      </c>
      <c r="AA12" s="19"/>
    </row>
    <row r="13" spans="1:27" x14ac:dyDescent="0.25">
      <c r="A13" s="45"/>
      <c r="B13" s="1"/>
      <c r="C13" s="41"/>
      <c r="D13" s="41"/>
      <c r="F13" s="45"/>
      <c r="J13" s="30" t="s">
        <v>108</v>
      </c>
      <c r="K13" s="30" t="s">
        <v>107</v>
      </c>
      <c r="L13" t="s">
        <v>44</v>
      </c>
      <c r="M13" s="19"/>
      <c r="N13" s="19"/>
      <c r="O13" s="19"/>
      <c r="P13" s="19"/>
      <c r="Q13" s="19"/>
      <c r="R13" s="19"/>
      <c r="S13" s="145"/>
      <c r="T13" s="145">
        <v>0</v>
      </c>
      <c r="U13" s="146"/>
      <c r="V13" s="126"/>
      <c r="W13" s="126"/>
      <c r="X13" s="126"/>
      <c r="Y13" s="81"/>
      <c r="Z13" s="19">
        <f>SUM($S$4, T13, $U$4:$Y$4)</f>
        <v>4.5479999999999991E-3</v>
      </c>
      <c r="AA13" s="19"/>
    </row>
    <row r="14" spans="1:27" x14ac:dyDescent="0.25">
      <c r="A14" s="45"/>
      <c r="B14" s="75"/>
      <c r="C14" s="41"/>
      <c r="D14" s="41"/>
      <c r="F14" s="45"/>
      <c r="J14" s="30" t="s">
        <v>108</v>
      </c>
      <c r="K14" s="30" t="s">
        <v>107</v>
      </c>
      <c r="L14" t="s">
        <v>45</v>
      </c>
      <c r="M14" s="19"/>
      <c r="N14" s="19"/>
      <c r="O14" s="19"/>
      <c r="P14" s="19"/>
      <c r="Q14" s="19"/>
      <c r="R14" s="19"/>
      <c r="S14" s="145"/>
      <c r="T14" s="145">
        <v>0</v>
      </c>
      <c r="U14" s="146"/>
      <c r="V14" s="126"/>
      <c r="W14" s="126"/>
      <c r="X14" s="126"/>
      <c r="Y14" s="81"/>
      <c r="Z14" s="19">
        <f>SUM($S$5, T14, $U$5:$Y$5)</f>
        <v>3.5359999999999996E-3</v>
      </c>
      <c r="AA14" s="19"/>
    </row>
    <row r="15" spans="1:27" x14ac:dyDescent="0.25">
      <c r="A15" s="45"/>
      <c r="B15"/>
      <c r="C15" s="41"/>
      <c r="D15" s="41"/>
      <c r="F15" s="45"/>
      <c r="J15" s="30" t="s">
        <v>129</v>
      </c>
      <c r="K15" s="30" t="s">
        <v>132</v>
      </c>
      <c r="L15" t="s">
        <v>44</v>
      </c>
      <c r="M15" s="19"/>
      <c r="N15" s="19"/>
      <c r="O15" s="19"/>
      <c r="P15" s="19"/>
      <c r="Q15" s="19"/>
      <c r="R15" s="19"/>
      <c r="S15" s="145"/>
      <c r="T15" s="147">
        <v>1.9999999999999999E-6</v>
      </c>
      <c r="U15" s="146"/>
      <c r="V15" s="126"/>
      <c r="W15" s="126"/>
      <c r="X15" s="126"/>
      <c r="Y15" s="81"/>
      <c r="Z15" s="19"/>
      <c r="AA15" s="19"/>
    </row>
    <row r="16" spans="1:27" x14ac:dyDescent="0.25">
      <c r="A16" s="45"/>
      <c r="B16"/>
      <c r="C16" s="41"/>
      <c r="D16" s="41"/>
      <c r="F16" s="45"/>
      <c r="J16" s="30" t="s">
        <v>130</v>
      </c>
      <c r="K16" s="30" t="s">
        <v>132</v>
      </c>
      <c r="L16" t="s">
        <v>45</v>
      </c>
      <c r="M16" s="19"/>
      <c r="N16" s="19"/>
      <c r="O16" s="19"/>
      <c r="P16" s="19"/>
      <c r="Q16" s="19"/>
      <c r="R16" s="19"/>
      <c r="S16" s="145"/>
      <c r="T16" s="147">
        <v>1.18E-4</v>
      </c>
      <c r="U16" s="146"/>
      <c r="V16" s="126"/>
      <c r="W16" s="126"/>
      <c r="X16" s="126"/>
      <c r="Y16" s="81"/>
      <c r="Z16" s="19"/>
      <c r="AA16" s="19"/>
    </row>
    <row r="17" spans="1:27" x14ac:dyDescent="0.25">
      <c r="A17" s="45"/>
      <c r="B17"/>
      <c r="C17" s="41"/>
      <c r="F17" s="45"/>
      <c r="J17" s="30" t="s">
        <v>131</v>
      </c>
      <c r="K17" s="30" t="s">
        <v>132</v>
      </c>
      <c r="L17" s="30" t="s">
        <v>26</v>
      </c>
      <c r="M17" s="19"/>
      <c r="N17" s="19"/>
      <c r="O17" s="19"/>
      <c r="P17" s="19"/>
      <c r="Q17" s="19"/>
      <c r="R17" s="19"/>
      <c r="S17" s="145"/>
      <c r="T17" s="147">
        <v>0</v>
      </c>
      <c r="U17" s="146"/>
      <c r="V17" s="126"/>
      <c r="W17" s="126"/>
      <c r="X17" s="126"/>
      <c r="Y17" s="81"/>
      <c r="Z17" s="19"/>
      <c r="AA17" s="19"/>
    </row>
    <row r="18" spans="1:27" x14ac:dyDescent="0.25">
      <c r="A18" s="45"/>
      <c r="B18"/>
      <c r="C18" s="41"/>
      <c r="F18" s="45"/>
      <c r="J18" s="30"/>
      <c r="K18" s="30" t="s">
        <v>134</v>
      </c>
      <c r="L18" s="30" t="s">
        <v>44</v>
      </c>
      <c r="M18" s="19"/>
      <c r="N18" s="19"/>
      <c r="O18" s="19"/>
      <c r="P18" s="19"/>
      <c r="Q18" s="19"/>
      <c r="R18" s="19"/>
      <c r="S18" s="145"/>
      <c r="T18" s="147">
        <v>3.19E-4</v>
      </c>
      <c r="U18" s="146"/>
      <c r="V18" s="126"/>
      <c r="W18" s="126"/>
      <c r="X18" s="126"/>
      <c r="Y18" s="81"/>
      <c r="Z18" s="19"/>
      <c r="AA18" s="19"/>
    </row>
    <row r="19" spans="1:27" x14ac:dyDescent="0.25">
      <c r="A19" s="45"/>
      <c r="B19"/>
      <c r="C19" s="41"/>
      <c r="F19" s="45"/>
      <c r="J19" s="30"/>
      <c r="K19" s="30" t="s">
        <v>134</v>
      </c>
      <c r="L19" s="30" t="s">
        <v>45</v>
      </c>
      <c r="M19" s="19"/>
      <c r="N19" s="19"/>
      <c r="O19" s="19"/>
      <c r="P19" s="19"/>
      <c r="Q19" s="19"/>
      <c r="R19" s="19"/>
      <c r="S19" s="145"/>
      <c r="T19" s="147">
        <v>4.8799999999999999E-4</v>
      </c>
      <c r="U19" s="146"/>
      <c r="V19" s="126"/>
      <c r="W19" s="126"/>
      <c r="X19" s="126"/>
      <c r="Y19" s="81"/>
      <c r="Z19" s="19"/>
      <c r="AA19" s="19"/>
    </row>
    <row r="20" spans="1:27" x14ac:dyDescent="0.25">
      <c r="A20" s="45"/>
      <c r="B20"/>
      <c r="C20" s="41"/>
      <c r="F20" s="45"/>
      <c r="J20" s="30"/>
      <c r="K20" s="30" t="s">
        <v>137</v>
      </c>
      <c r="L20" s="30" t="s">
        <v>44</v>
      </c>
      <c r="M20" s="19"/>
      <c r="N20" s="19"/>
      <c r="O20" s="19"/>
      <c r="P20" s="19"/>
      <c r="Q20" s="19"/>
      <c r="R20" s="19"/>
      <c r="S20" s="145"/>
      <c r="T20" s="147">
        <v>3.3799999999999998E-4</v>
      </c>
      <c r="U20" s="146"/>
      <c r="V20" s="126"/>
      <c r="W20" s="126"/>
      <c r="X20" s="126"/>
      <c r="Y20" s="81"/>
      <c r="Z20" s="19"/>
      <c r="AA20" s="19"/>
    </row>
    <row r="21" spans="1:27" x14ac:dyDescent="0.25">
      <c r="A21" s="45"/>
      <c r="B21"/>
      <c r="C21" s="41"/>
      <c r="F21" s="45"/>
      <c r="I21" s="30"/>
      <c r="J21" s="30"/>
      <c r="K21" s="30" t="s">
        <v>137</v>
      </c>
      <c r="L21" s="30" t="s">
        <v>45</v>
      </c>
      <c r="M21" s="19"/>
      <c r="N21" s="19"/>
      <c r="O21" s="19"/>
      <c r="P21" s="19"/>
      <c r="Q21" s="19"/>
      <c r="R21" s="19"/>
      <c r="S21" s="145"/>
      <c r="T21" s="147">
        <v>1.0330000000000001E-3</v>
      </c>
      <c r="U21" s="146"/>
      <c r="V21" s="126"/>
      <c r="W21" s="126"/>
      <c r="X21" s="126"/>
      <c r="Y21" s="81"/>
      <c r="Z21" s="19"/>
      <c r="AA21" s="19"/>
    </row>
    <row r="22" spans="1:27" x14ac:dyDescent="0.25">
      <c r="A22" s="45"/>
      <c r="B22"/>
      <c r="C22" s="41"/>
      <c r="F22" s="45"/>
      <c r="I22" s="30"/>
      <c r="J22" s="30"/>
      <c r="K22" s="30" t="s">
        <v>163</v>
      </c>
      <c r="L22" s="30" t="s">
        <v>44</v>
      </c>
      <c r="M22" s="19"/>
      <c r="N22" s="19"/>
      <c r="O22" s="19"/>
      <c r="P22" s="19"/>
      <c r="Q22" s="19"/>
      <c r="R22" s="19"/>
      <c r="S22" s="145"/>
      <c r="T22" s="147">
        <v>1.604E-3</v>
      </c>
      <c r="U22" s="146"/>
      <c r="V22" s="126"/>
      <c r="W22" s="126"/>
      <c r="X22" s="126"/>
      <c r="Y22" s="81"/>
      <c r="Z22" s="19"/>
      <c r="AA22" s="19"/>
    </row>
    <row r="23" spans="1:27" x14ac:dyDescent="0.25">
      <c r="A23" s="45"/>
      <c r="B23"/>
      <c r="C23" s="41"/>
      <c r="F23" s="45"/>
      <c r="J23" s="30"/>
      <c r="K23" s="30" t="s">
        <v>163</v>
      </c>
      <c r="L23" s="30" t="s">
        <v>45</v>
      </c>
      <c r="M23" s="19"/>
      <c r="N23" s="19"/>
      <c r="O23" s="19"/>
      <c r="P23" s="19"/>
      <c r="Q23" s="19"/>
      <c r="R23" s="19"/>
      <c r="S23" s="145"/>
      <c r="T23" s="147">
        <v>1.763E-3</v>
      </c>
      <c r="U23" s="146"/>
      <c r="V23" s="126"/>
      <c r="W23" s="126"/>
      <c r="X23" s="126"/>
      <c r="Y23" s="81"/>
      <c r="Z23" s="19"/>
      <c r="AA23" s="19"/>
    </row>
    <row r="24" spans="1:27" ht="13.5" customHeight="1" x14ac:dyDescent="0.25">
      <c r="A24" s="45"/>
      <c r="B24"/>
      <c r="F24" s="45"/>
      <c r="J24" s="30"/>
      <c r="K24" s="30" t="s">
        <v>169</v>
      </c>
      <c r="L24" s="30" t="s">
        <v>44</v>
      </c>
      <c r="M24" s="19"/>
      <c r="N24" s="19"/>
      <c r="O24" s="19"/>
      <c r="P24" s="19"/>
      <c r="Q24" s="19"/>
      <c r="R24" s="19"/>
      <c r="S24" s="145"/>
      <c r="T24" s="147">
        <v>0</v>
      </c>
      <c r="U24" s="146"/>
      <c r="V24" s="126"/>
      <c r="W24" s="126"/>
      <c r="X24" s="126"/>
      <c r="Y24" s="81"/>
      <c r="Z24" s="19"/>
      <c r="AA24" s="19"/>
    </row>
    <row r="25" spans="1:27" ht="13.5" customHeight="1" x14ac:dyDescent="0.25">
      <c r="A25" s="45"/>
      <c r="B25"/>
      <c r="F25" s="45"/>
      <c r="J25" s="30"/>
      <c r="K25" s="30" t="s">
        <v>169</v>
      </c>
      <c r="L25" s="30" t="s">
        <v>45</v>
      </c>
      <c r="M25" s="19"/>
      <c r="N25" s="19"/>
      <c r="O25" s="19"/>
      <c r="P25" s="19"/>
      <c r="Q25" s="19"/>
      <c r="R25" s="19"/>
      <c r="S25" s="145"/>
      <c r="T25" s="147">
        <v>0</v>
      </c>
      <c r="U25" s="146"/>
      <c r="V25" s="126"/>
      <c r="W25" s="126"/>
      <c r="X25" s="126"/>
      <c r="Y25" s="81"/>
      <c r="Z25" s="19"/>
      <c r="AA25" s="19"/>
    </row>
    <row r="26" spans="1:27" ht="13.5" customHeight="1" x14ac:dyDescent="0.25">
      <c r="A26" s="45"/>
      <c r="B26"/>
      <c r="F26" s="45"/>
      <c r="J26" s="30"/>
      <c r="K26" s="30" t="s">
        <v>292</v>
      </c>
      <c r="L26" s="30" t="s">
        <v>44</v>
      </c>
      <c r="M26" s="19"/>
      <c r="N26" s="19"/>
      <c r="O26" s="19"/>
      <c r="P26" s="19"/>
      <c r="Q26" s="19"/>
      <c r="R26" s="19"/>
      <c r="S26" s="145"/>
      <c r="T26" s="147">
        <v>3.2720000000000002E-3</v>
      </c>
      <c r="U26" s="146"/>
      <c r="V26" s="126"/>
      <c r="W26" s="126"/>
      <c r="X26" s="126"/>
      <c r="Y26" s="81"/>
      <c r="Z26" s="19"/>
      <c r="AA26" s="19"/>
    </row>
    <row r="27" spans="1:27" ht="13.5" customHeight="1" x14ac:dyDescent="0.25">
      <c r="A27" s="45"/>
      <c r="B27"/>
      <c r="F27" s="45"/>
      <c r="J27" s="30"/>
      <c r="K27" s="30" t="s">
        <v>292</v>
      </c>
      <c r="L27" s="30" t="s">
        <v>45</v>
      </c>
      <c r="M27" s="19"/>
      <c r="N27" s="19"/>
      <c r="O27" s="19"/>
      <c r="P27" s="19"/>
      <c r="Q27" s="19"/>
      <c r="R27" s="19"/>
      <c r="S27" s="145"/>
      <c r="T27" s="147">
        <v>3.6970000000000002E-3</v>
      </c>
      <c r="U27" s="146"/>
      <c r="V27" s="126"/>
      <c r="W27" s="126"/>
      <c r="X27" s="126"/>
      <c r="Y27" s="81"/>
      <c r="Z27" s="19"/>
      <c r="AA27" s="19"/>
    </row>
    <row r="28" spans="1:27" x14ac:dyDescent="0.25">
      <c r="A28" s="45"/>
      <c r="F28" s="74"/>
      <c r="L28" t="s">
        <v>81</v>
      </c>
      <c r="M28" s="19">
        <f>M3</f>
        <v>3.0000000000000001E-3</v>
      </c>
      <c r="N28" s="19"/>
      <c r="O28" s="19"/>
      <c r="P28" s="19"/>
      <c r="Q28" s="19"/>
      <c r="R28" s="19"/>
      <c r="S28" s="145">
        <v>1.206E-3</v>
      </c>
      <c r="T28" s="146"/>
      <c r="U28" s="146">
        <v>0</v>
      </c>
      <c r="V28" s="126">
        <v>5.3899999999999998E-4</v>
      </c>
      <c r="W28" s="126">
        <v>1.39E-3</v>
      </c>
      <c r="X28" s="126">
        <v>-9.7799999999999992E-4</v>
      </c>
      <c r="Y28" s="126">
        <v>2.1900000000000001E-4</v>
      </c>
      <c r="Z28" s="19">
        <f>SUM(S28:Y28)</f>
        <v>2.3760000000000001E-3</v>
      </c>
      <c r="AA28" s="19"/>
    </row>
    <row r="29" spans="1:27" ht="13" x14ac:dyDescent="0.3">
      <c r="A29" s="45"/>
      <c r="C29" s="3"/>
      <c r="F29" s="74"/>
      <c r="L29" t="s">
        <v>119</v>
      </c>
      <c r="M29" s="19"/>
      <c r="N29" s="19"/>
      <c r="O29" s="19"/>
      <c r="P29" s="19"/>
      <c r="Q29" s="19"/>
      <c r="R29" s="19"/>
      <c r="S29" s="145">
        <v>1.206E-3</v>
      </c>
      <c r="T29" s="146"/>
      <c r="U29" s="146"/>
      <c r="V29" s="126">
        <v>5.3899999999999998E-4</v>
      </c>
      <c r="W29" s="126">
        <v>1.39E-3</v>
      </c>
      <c r="X29" s="126">
        <v>-9.7799999999999992E-4</v>
      </c>
      <c r="Y29" s="126">
        <v>2.1900000000000001E-4</v>
      </c>
      <c r="Z29" s="19"/>
      <c r="AA29" s="19"/>
    </row>
    <row r="30" spans="1:27" x14ac:dyDescent="0.25">
      <c r="A30" s="45"/>
      <c r="C30" s="4"/>
      <c r="J30" s="30" t="s">
        <v>162</v>
      </c>
      <c r="L30" s="30" t="s">
        <v>26</v>
      </c>
      <c r="R30" s="143">
        <v>7.4180000000000001E-3</v>
      </c>
      <c r="S30" s="125">
        <v>1.305E-3</v>
      </c>
      <c r="T30" s="125">
        <v>6.2779999999999997E-3</v>
      </c>
      <c r="U30" s="6">
        <v>0</v>
      </c>
      <c r="V30" s="126">
        <v>-8.3999999999999995E-5</v>
      </c>
      <c r="W30" s="126">
        <v>7.4399999999999998E-4</v>
      </c>
      <c r="X30" s="126">
        <v>5.4299999999999997E-4</v>
      </c>
      <c r="Y30" s="126">
        <v>8.2999999999999998E-5</v>
      </c>
      <c r="Z30" s="19">
        <f>SUM(S30:Y30)</f>
        <v>8.8690000000000001E-3</v>
      </c>
      <c r="AA30" s="19"/>
    </row>
    <row r="31" spans="1:27" x14ac:dyDescent="0.25">
      <c r="A31" s="45"/>
      <c r="C31" s="7"/>
      <c r="G31" s="30"/>
      <c r="K31" s="30" t="s">
        <v>91</v>
      </c>
      <c r="L31" s="30" t="s">
        <v>26</v>
      </c>
      <c r="T31" s="114">
        <v>0</v>
      </c>
    </row>
    <row r="32" spans="1:27" x14ac:dyDescent="0.25">
      <c r="A32" s="45"/>
      <c r="C32" s="7"/>
      <c r="K32" s="30" t="s">
        <v>96</v>
      </c>
      <c r="L32" s="30"/>
      <c r="T32" s="114">
        <v>0</v>
      </c>
    </row>
    <row r="33" spans="1:29" x14ac:dyDescent="0.25">
      <c r="A33" s="45"/>
      <c r="C33" s="7"/>
      <c r="K33" s="30" t="s">
        <v>107</v>
      </c>
      <c r="L33" s="30"/>
      <c r="T33" s="114">
        <v>0</v>
      </c>
    </row>
    <row r="34" spans="1:29" x14ac:dyDescent="0.25">
      <c r="A34" s="45"/>
      <c r="C34" s="7"/>
      <c r="K34" s="30" t="s">
        <v>132</v>
      </c>
      <c r="L34" s="30"/>
      <c r="T34" s="114">
        <v>0</v>
      </c>
    </row>
    <row r="35" spans="1:29" x14ac:dyDescent="0.25">
      <c r="A35" s="45"/>
      <c r="C35" s="7"/>
      <c r="K35" s="30" t="s">
        <v>134</v>
      </c>
      <c r="L35" s="30"/>
      <c r="T35" s="114">
        <v>0</v>
      </c>
    </row>
    <row r="36" spans="1:29" x14ac:dyDescent="0.25">
      <c r="A36" s="45"/>
      <c r="C36" s="7"/>
      <c r="K36" s="30" t="s">
        <v>91</v>
      </c>
      <c r="L36" s="30"/>
      <c r="T36" s="114">
        <v>0</v>
      </c>
    </row>
    <row r="37" spans="1:29" x14ac:dyDescent="0.25">
      <c r="A37" s="45"/>
      <c r="C37" s="7"/>
      <c r="K37" s="30" t="s">
        <v>168</v>
      </c>
      <c r="L37" s="30"/>
      <c r="T37" s="114">
        <v>2.892E-3</v>
      </c>
    </row>
    <row r="38" spans="1:29" x14ac:dyDescent="0.25">
      <c r="B38" s="1"/>
      <c r="C38" s="7"/>
      <c r="F38" s="84">
        <v>12.31</v>
      </c>
      <c r="G38" s="84"/>
      <c r="H38" s="84"/>
      <c r="I38" s="84"/>
      <c r="J38" s="84">
        <v>16.75</v>
      </c>
      <c r="K38" s="83">
        <v>0.104854</v>
      </c>
      <c r="L38" s="83">
        <v>8.9388999999999996E-2</v>
      </c>
      <c r="S38" s="27">
        <f>+M$3</f>
        <v>3.0000000000000001E-3</v>
      </c>
      <c r="T38" s="27">
        <f t="shared" ref="T38:Z38" si="0">+R$3</f>
        <v>-3.1020000000000002E-3</v>
      </c>
      <c r="U38" s="27">
        <f t="shared" si="0"/>
        <v>3.5140000000000002E-3</v>
      </c>
      <c r="V38" s="27">
        <f t="shared" si="0"/>
        <v>4.5189999999999996E-3</v>
      </c>
      <c r="W38" s="27">
        <f t="shared" si="0"/>
        <v>0</v>
      </c>
      <c r="X38" s="27">
        <f t="shared" si="0"/>
        <v>7.2300000000000001E-4</v>
      </c>
      <c r="Y38" s="27">
        <f t="shared" si="0"/>
        <v>1.8860000000000001E-3</v>
      </c>
      <c r="Z38" s="27">
        <f t="shared" si="0"/>
        <v>-1.346E-3</v>
      </c>
      <c r="AA38" s="27">
        <f>Y3</f>
        <v>2.7799999999999998E-4</v>
      </c>
      <c r="AB38" s="19">
        <f>SUM(U38:Z38)</f>
        <v>9.2960000000000004E-3</v>
      </c>
    </row>
    <row r="39" spans="1:29" x14ac:dyDescent="0.25">
      <c r="A39" s="11"/>
      <c r="F39" s="84"/>
      <c r="G39" s="82"/>
      <c r="H39" s="82"/>
      <c r="I39" s="82"/>
      <c r="J39" s="85">
        <v>325</v>
      </c>
      <c r="K39" s="85">
        <v>500</v>
      </c>
      <c r="L39" s="85"/>
      <c r="M39" s="9"/>
      <c r="N39" s="9"/>
      <c r="O39" s="9"/>
      <c r="P39" s="9"/>
      <c r="Q39" s="9"/>
      <c r="R39" s="9"/>
      <c r="S39" s="10"/>
      <c r="T39" s="10"/>
      <c r="W39" s="10"/>
      <c r="X39" s="10"/>
      <c r="Y39" s="10"/>
      <c r="Z39" s="10"/>
      <c r="AA39" s="10"/>
    </row>
    <row r="40" spans="1:29" x14ac:dyDescent="0.25">
      <c r="C40" s="11"/>
      <c r="D40" s="12"/>
      <c r="F40" s="12"/>
      <c r="J40" s="12" t="s">
        <v>1</v>
      </c>
      <c r="K40" s="256" t="s">
        <v>2</v>
      </c>
      <c r="L40" s="256"/>
      <c r="M40" s="12"/>
      <c r="N40" s="73" t="s">
        <v>176</v>
      </c>
      <c r="O40" s="12"/>
      <c r="P40" s="12"/>
      <c r="Q40" s="12"/>
      <c r="R40" s="12"/>
      <c r="S40" s="12">
        <v>21</v>
      </c>
      <c r="T40" s="12">
        <v>6</v>
      </c>
      <c r="U40" s="12">
        <v>3</v>
      </c>
      <c r="V40" s="12">
        <v>22</v>
      </c>
      <c r="W40" s="12">
        <v>13</v>
      </c>
      <c r="X40" s="12">
        <v>20</v>
      </c>
      <c r="Y40" s="12">
        <v>24</v>
      </c>
      <c r="Z40" s="12">
        <v>25</v>
      </c>
      <c r="AA40" s="12">
        <v>26</v>
      </c>
    </row>
    <row r="41" spans="1:29" x14ac:dyDescent="0.25">
      <c r="A41" s="13" t="s">
        <v>76</v>
      </c>
      <c r="B41" s="14" t="s">
        <v>3</v>
      </c>
      <c r="C41" s="14"/>
      <c r="D41" s="80"/>
      <c r="F41" s="13" t="s">
        <v>4</v>
      </c>
      <c r="G41" s="13" t="s">
        <v>12</v>
      </c>
      <c r="H41" s="13" t="s">
        <v>13</v>
      </c>
      <c r="I41" s="12"/>
      <c r="J41" s="13" t="s">
        <v>5</v>
      </c>
      <c r="K41" s="13" t="s">
        <v>6</v>
      </c>
      <c r="L41" s="13" t="s">
        <v>7</v>
      </c>
      <c r="M41" s="15"/>
      <c r="N41" s="15"/>
      <c r="O41" s="15"/>
      <c r="P41" s="15"/>
      <c r="Q41" s="15"/>
      <c r="R41" s="15"/>
      <c r="S41" s="13" t="s">
        <v>70</v>
      </c>
      <c r="T41" s="13" t="s">
        <v>9</v>
      </c>
      <c r="U41" s="80" t="s">
        <v>161</v>
      </c>
      <c r="V41" s="13" t="s">
        <v>79</v>
      </c>
      <c r="W41" s="13" t="s">
        <v>10</v>
      </c>
      <c r="X41" s="13" t="s">
        <v>11</v>
      </c>
      <c r="Y41" s="80" t="s">
        <v>104</v>
      </c>
      <c r="Z41" s="80" t="s">
        <v>105</v>
      </c>
      <c r="AA41" s="80" t="s">
        <v>106</v>
      </c>
      <c r="AB41" s="77" t="s">
        <v>71</v>
      </c>
    </row>
    <row r="42" spans="1:29" x14ac:dyDescent="0.25">
      <c r="A42" s="1"/>
      <c r="B42" s="35">
        <v>-1</v>
      </c>
      <c r="C42" s="35"/>
      <c r="D42" s="12"/>
      <c r="F42" s="12"/>
      <c r="G42" s="12"/>
      <c r="H42" s="12"/>
      <c r="I42" s="12"/>
      <c r="J42" s="12"/>
      <c r="K42" s="12"/>
      <c r="L42" s="12"/>
      <c r="S42" s="51">
        <v>0</v>
      </c>
      <c r="T42" s="12"/>
      <c r="U42" s="12"/>
      <c r="V42" s="12"/>
      <c r="W42" s="12"/>
      <c r="X42" s="12"/>
      <c r="Y42" s="12"/>
      <c r="Z42" s="12"/>
      <c r="AA42" s="12"/>
    </row>
    <row r="43" spans="1:29" ht="13" x14ac:dyDescent="0.3">
      <c r="B43" s="111">
        <f>IF(AND('AES Indiana Sep 23 Bill Calc.'!$D$17="RS",'AES Indiana Sep 23 Bill Calc.'!$D$18="No"),'AES Indiana Sep 23 Bill Calc.'!$D$19,-1)</f>
        <v>-1</v>
      </c>
      <c r="C43" s="112" t="s">
        <v>172</v>
      </c>
      <c r="F43" s="37" t="s">
        <v>14</v>
      </c>
      <c r="G43" s="17">
        <f>SUM(J43:M43,O43:P43,R43:AA43)</f>
        <v>12.21</v>
      </c>
      <c r="H43" s="19" t="e">
        <f>IF(ISBLANK(B43),0,+#REF!/B43)</f>
        <v>#REF!</v>
      </c>
      <c r="I43" s="106"/>
      <c r="J43" s="52">
        <f>IF(ISBLANK(B43),0,IF(B43&gt;J$39,+J$38,+F$38))</f>
        <v>12.31</v>
      </c>
      <c r="K43" s="16">
        <f>IF($B43&gt;K$39,ROUND(K$39*K$38,2),ROUND($B43*K$38,2))</f>
        <v>-0.1</v>
      </c>
      <c r="L43" s="16">
        <f>IF($B43&gt;K$39,ROUND(($B43-K$39)*L$38,2),0)</f>
        <v>0</v>
      </c>
      <c r="M43" s="17"/>
      <c r="N43" s="17">
        <f>SUM(K43:L43)</f>
        <v>-0.1</v>
      </c>
      <c r="O43" s="17"/>
      <c r="P43" s="17"/>
      <c r="Q43" s="17"/>
      <c r="S43" s="17">
        <f>ROUND($B43*S$38*S42,2)</f>
        <v>0</v>
      </c>
      <c r="T43" s="17">
        <f t="shared" ref="T43:AA43" si="1">ROUND($B43*T$38,2)</f>
        <v>0</v>
      </c>
      <c r="U43" s="17">
        <f t="shared" si="1"/>
        <v>0</v>
      </c>
      <c r="V43" s="17">
        <f t="shared" si="1"/>
        <v>0</v>
      </c>
      <c r="W43" s="17">
        <f t="shared" si="1"/>
        <v>0</v>
      </c>
      <c r="X43" s="17">
        <f t="shared" si="1"/>
        <v>0</v>
      </c>
      <c r="Y43" s="17">
        <f t="shared" si="1"/>
        <v>0</v>
      </c>
      <c r="Z43" s="17">
        <f t="shared" si="1"/>
        <v>0</v>
      </c>
      <c r="AA43" s="17">
        <f t="shared" si="1"/>
        <v>0</v>
      </c>
      <c r="AB43" s="19">
        <f>SUM(U38:AA38)+S38*S42</f>
        <v>9.5740000000000009E-3</v>
      </c>
      <c r="AC43" s="78" t="str">
        <f>+F43</f>
        <v>RS</v>
      </c>
    </row>
    <row r="44" spans="1:29" ht="13" x14ac:dyDescent="0.3">
      <c r="A44" s="1"/>
      <c r="B44" s="111">
        <v>-1</v>
      </c>
      <c r="F44" s="37"/>
      <c r="G44" s="17"/>
      <c r="H44" s="19"/>
      <c r="I44" s="19"/>
      <c r="J44" s="16"/>
      <c r="K44" s="16"/>
      <c r="L44" s="16"/>
      <c r="M44" s="17"/>
      <c r="N44" s="17"/>
      <c r="O44" s="17"/>
      <c r="P44" s="17"/>
      <c r="Q44" s="17"/>
      <c r="S44" s="51">
        <v>1</v>
      </c>
      <c r="T44" s="17"/>
      <c r="U44" s="17"/>
      <c r="V44" s="17"/>
      <c r="W44" s="17"/>
      <c r="X44" s="17"/>
      <c r="Y44" s="17"/>
      <c r="Z44" s="17"/>
      <c r="AA44" s="17"/>
    </row>
    <row r="45" spans="1:29" ht="13" x14ac:dyDescent="0.3">
      <c r="A45" s="55"/>
      <c r="B45" s="111">
        <f>IF(AND('AES Indiana Sep 23 Bill Calc.'!$D$17="RS",'AES Indiana Sep 23 Bill Calc.'!$D$18="Yes 100%"),'AES Indiana Sep 23 Bill Calc.'!$D$19,-1)</f>
        <v>-1</v>
      </c>
      <c r="C45" s="57" t="s">
        <v>73</v>
      </c>
      <c r="F45" s="37" t="s">
        <v>14</v>
      </c>
      <c r="G45" s="17">
        <f>SUM(J45:M45,O45:P45,R45:AA45)</f>
        <v>12.21</v>
      </c>
      <c r="H45" s="19" t="e">
        <f>IF(ISBLANK(B45),0,+#REF!/B45)</f>
        <v>#REF!</v>
      </c>
      <c r="I45" s="19"/>
      <c r="J45" s="52">
        <f>IF(ISBLANK(B45),0,IF(B45&gt;J$39,+J$38,+F$38))</f>
        <v>12.31</v>
      </c>
      <c r="K45" s="135">
        <f>IF($B45&gt;K$39,ROUND(K$39*K$38,2),ROUND($B45*K$38,2))</f>
        <v>-0.1</v>
      </c>
      <c r="L45" s="16">
        <f>IF($B45&gt;K$39,ROUND(($B45-K$39)*L$38,2),0)</f>
        <v>0</v>
      </c>
      <c r="M45" s="17"/>
      <c r="N45" s="17">
        <f>SUM(K45:L45)</f>
        <v>-0.1</v>
      </c>
      <c r="O45" s="17"/>
      <c r="P45" s="17"/>
      <c r="Q45" s="17"/>
      <c r="S45" s="17">
        <f>ROUND($B45*S$38*S44,2)</f>
        <v>0</v>
      </c>
      <c r="T45" s="17">
        <f t="shared" ref="T45:AA45" si="2">ROUND($B45*T$38,2)</f>
        <v>0</v>
      </c>
      <c r="U45" s="17">
        <f t="shared" si="2"/>
        <v>0</v>
      </c>
      <c r="V45" s="17">
        <f t="shared" si="2"/>
        <v>0</v>
      </c>
      <c r="W45" s="17">
        <f t="shared" si="2"/>
        <v>0</v>
      </c>
      <c r="X45" s="17">
        <f t="shared" si="2"/>
        <v>0</v>
      </c>
      <c r="Y45" s="17">
        <f t="shared" si="2"/>
        <v>0</v>
      </c>
      <c r="Z45" s="17">
        <f t="shared" si="2"/>
        <v>0</v>
      </c>
      <c r="AA45" s="17">
        <f t="shared" si="2"/>
        <v>0</v>
      </c>
      <c r="AB45" s="19">
        <f>SUM(U38:AA38)+S38*S44</f>
        <v>1.2574000000000002E-2</v>
      </c>
      <c r="AC45" s="78" t="str">
        <f>+F45</f>
        <v>RS</v>
      </c>
    </row>
    <row r="46" spans="1:29" ht="13" x14ac:dyDescent="0.3">
      <c r="A46" s="1"/>
      <c r="B46" s="111">
        <v>-1</v>
      </c>
      <c r="F46" s="37"/>
      <c r="G46" s="17"/>
      <c r="H46" s="19"/>
      <c r="I46" s="19"/>
      <c r="J46" s="16"/>
      <c r="K46" s="16"/>
      <c r="L46" s="16"/>
      <c r="M46" s="17"/>
      <c r="N46" s="17"/>
      <c r="O46" s="17"/>
      <c r="P46" s="17"/>
      <c r="Q46" s="17"/>
      <c r="S46" s="51">
        <v>0.5</v>
      </c>
      <c r="T46" s="17"/>
      <c r="U46" s="17"/>
      <c r="V46" s="17"/>
      <c r="W46" s="17"/>
      <c r="X46" s="17"/>
      <c r="Y46" s="17"/>
      <c r="Z46" s="17"/>
      <c r="AA46" s="17"/>
    </row>
    <row r="47" spans="1:29" ht="13" x14ac:dyDescent="0.3">
      <c r="A47" s="55"/>
      <c r="B47" s="111">
        <f>IF(AND('AES Indiana Sep 23 Bill Calc.'!$D$17="RS",'AES Indiana Sep 23 Bill Calc.'!$D$18="Yes 50%"),'AES Indiana Sep 23 Bill Calc.'!$D$19,-1)</f>
        <v>-1</v>
      </c>
      <c r="C47" s="57" t="s">
        <v>171</v>
      </c>
      <c r="F47" s="37" t="s">
        <v>14</v>
      </c>
      <c r="G47" s="17">
        <f>SUM(J47:M47,O47:P47,R47:AA47)</f>
        <v>12.21</v>
      </c>
      <c r="H47" s="19" t="e">
        <f>IF(ISBLANK(B47),0,+#REF!/B47)</f>
        <v>#REF!</v>
      </c>
      <c r="I47" s="19"/>
      <c r="J47" s="52">
        <f>IF(ISBLANK(B47),0,IF(B47&gt;J$39,+J$38,+F$38))</f>
        <v>12.31</v>
      </c>
      <c r="K47" s="135">
        <f>IF($B47&gt;K$39,ROUND(K$39*K$38,2),ROUND($B47*K$38,2))</f>
        <v>-0.1</v>
      </c>
      <c r="L47" s="16">
        <f>IF($B47&gt;K$39,ROUND(($B47-K$39)*L$38,2),0)</f>
        <v>0</v>
      </c>
      <c r="M47" s="17"/>
      <c r="N47" s="17">
        <f>SUM(K47:L47)</f>
        <v>-0.1</v>
      </c>
      <c r="O47" s="17"/>
      <c r="P47" s="17"/>
      <c r="Q47" s="17"/>
      <c r="S47" s="17">
        <f>ROUND($B47*S$38*S46,2)</f>
        <v>0</v>
      </c>
      <c r="T47" s="17">
        <f t="shared" ref="T47:AA47" si="3">ROUND($B47*T$38,2)</f>
        <v>0</v>
      </c>
      <c r="U47" s="17">
        <f t="shared" si="3"/>
        <v>0</v>
      </c>
      <c r="V47" s="17">
        <f t="shared" si="3"/>
        <v>0</v>
      </c>
      <c r="W47" s="17">
        <f t="shared" si="3"/>
        <v>0</v>
      </c>
      <c r="X47" s="17">
        <f t="shared" si="3"/>
        <v>0</v>
      </c>
      <c r="Y47" s="17">
        <f t="shared" si="3"/>
        <v>0</v>
      </c>
      <c r="Z47" s="17">
        <f t="shared" si="3"/>
        <v>0</v>
      </c>
      <c r="AA47" s="17">
        <f t="shared" si="3"/>
        <v>0</v>
      </c>
      <c r="AB47" s="19">
        <f>SUM(U40:AA40)+S40*S46</f>
        <v>143.5</v>
      </c>
      <c r="AC47" s="78" t="str">
        <f>+F47</f>
        <v>RS</v>
      </c>
    </row>
    <row r="48" spans="1:29" ht="13" x14ac:dyDescent="0.3">
      <c r="A48" s="1"/>
      <c r="B48" s="111">
        <v>-1</v>
      </c>
      <c r="F48" s="37"/>
      <c r="G48" s="17"/>
      <c r="H48" s="19"/>
      <c r="I48" s="19"/>
      <c r="J48" s="16"/>
      <c r="K48" s="16"/>
      <c r="L48" s="16"/>
      <c r="M48" s="17"/>
      <c r="N48" s="17"/>
      <c r="O48" s="17"/>
      <c r="P48" s="17"/>
      <c r="Q48" s="17"/>
      <c r="S48" s="51">
        <v>0.25</v>
      </c>
      <c r="T48" s="17"/>
      <c r="U48" s="17"/>
      <c r="V48" s="17"/>
      <c r="W48" s="17"/>
      <c r="X48" s="17"/>
      <c r="Y48" s="17"/>
      <c r="Z48" s="17"/>
      <c r="AA48" s="17"/>
    </row>
    <row r="49" spans="1:29" ht="13" x14ac:dyDescent="0.3">
      <c r="A49" s="55"/>
      <c r="B49" s="111">
        <f>IF(AND('AES Indiana Sep 23 Bill Calc.'!$D$17="RS",'AES Indiana Sep 23 Bill Calc.'!$D$18="Yes 25%"),'AES Indiana Sep 23 Bill Calc.'!$D$19,-1)</f>
        <v>-1</v>
      </c>
      <c r="C49" s="57" t="s">
        <v>158</v>
      </c>
      <c r="F49" s="37" t="s">
        <v>14</v>
      </c>
      <c r="G49" s="17">
        <f>SUM(J49:M49,O49:P49,R49:AA49)</f>
        <v>12.21</v>
      </c>
      <c r="H49" s="19" t="e">
        <f>IF(ISBLANK(B49),0,+#REF!/B49)</f>
        <v>#REF!</v>
      </c>
      <c r="I49" s="19"/>
      <c r="J49" s="52">
        <f>IF(ISBLANK(B49),0,IF(B49&gt;J$39,+J$38,+F$38))</f>
        <v>12.31</v>
      </c>
      <c r="K49" s="135">
        <f>IF($B49&gt;K$39,ROUND(K$39*K$38,2),ROUND($B49*K$38,2))</f>
        <v>-0.1</v>
      </c>
      <c r="L49" s="16">
        <f>IF($B49&gt;K$39,ROUND(($B49-K$39)*L$38,2),0)</f>
        <v>0</v>
      </c>
      <c r="M49" s="17"/>
      <c r="N49" s="17">
        <f>SUM(K49:L49)</f>
        <v>-0.1</v>
      </c>
      <c r="O49" s="17"/>
      <c r="P49" s="17"/>
      <c r="Q49" s="17"/>
      <c r="S49" s="17">
        <f>ROUND($B49*S$38*S48,2)</f>
        <v>0</v>
      </c>
      <c r="T49" s="17">
        <f t="shared" ref="T49:AA49" si="4">ROUND($B49*T$38,2)</f>
        <v>0</v>
      </c>
      <c r="U49" s="17">
        <f t="shared" si="4"/>
        <v>0</v>
      </c>
      <c r="V49" s="17">
        <f t="shared" si="4"/>
        <v>0</v>
      </c>
      <c r="W49" s="17">
        <f t="shared" si="4"/>
        <v>0</v>
      </c>
      <c r="X49" s="17">
        <f t="shared" si="4"/>
        <v>0</v>
      </c>
      <c r="Y49" s="17">
        <f t="shared" si="4"/>
        <v>0</v>
      </c>
      <c r="Z49" s="17">
        <f t="shared" si="4"/>
        <v>0</v>
      </c>
      <c r="AA49" s="17">
        <f t="shared" si="4"/>
        <v>0</v>
      </c>
      <c r="AB49" s="19">
        <f>SUM(U42:AA42)+S42*S48</f>
        <v>0</v>
      </c>
      <c r="AC49" s="78" t="str">
        <f>+F49</f>
        <v>RS</v>
      </c>
    </row>
    <row r="50" spans="1:29" x14ac:dyDescent="0.25">
      <c r="B50" s="111">
        <v>-1</v>
      </c>
      <c r="C50" s="94"/>
      <c r="G50" s="17"/>
      <c r="H50" s="19"/>
      <c r="I50" s="19"/>
      <c r="J50" s="16"/>
      <c r="K50" s="16"/>
      <c r="L50" s="16"/>
      <c r="M50" s="17"/>
      <c r="N50" s="17"/>
      <c r="O50" s="17"/>
      <c r="P50" s="17"/>
      <c r="Q50" s="17"/>
      <c r="R50" s="17"/>
      <c r="S50" s="17"/>
      <c r="T50" s="17"/>
      <c r="U50" s="17"/>
      <c r="V50" s="17"/>
      <c r="W50" s="17"/>
      <c r="X50" s="17"/>
      <c r="Y50" s="17"/>
      <c r="Z50" s="17"/>
      <c r="AA50" s="17"/>
    </row>
    <row r="51" spans="1:29" ht="13" thickBot="1" x14ac:dyDescent="0.3">
      <c r="A51" s="21"/>
      <c r="B51" s="121">
        <v>-1</v>
      </c>
      <c r="C51" s="28"/>
      <c r="D51" s="21"/>
      <c r="F51" s="21"/>
      <c r="G51" s="23"/>
      <c r="H51" s="25"/>
      <c r="I51" s="19"/>
      <c r="J51" s="22"/>
      <c r="K51" s="22"/>
      <c r="L51" s="22"/>
      <c r="M51" s="23"/>
      <c r="N51" s="23"/>
      <c r="O51" s="23"/>
      <c r="P51" s="23"/>
      <c r="Q51" s="23"/>
      <c r="R51" s="23"/>
      <c r="S51" s="23"/>
      <c r="T51" s="23"/>
      <c r="U51" s="23"/>
      <c r="V51" s="23"/>
      <c r="W51" s="23"/>
      <c r="X51" s="23"/>
      <c r="Y51" s="23"/>
      <c r="Z51" s="23"/>
      <c r="AA51" s="23"/>
      <c r="AB51" s="21"/>
    </row>
    <row r="52" spans="1:29" x14ac:dyDescent="0.25">
      <c r="B52" s="111">
        <v>-1</v>
      </c>
      <c r="C52" s="41"/>
      <c r="G52" s="43"/>
      <c r="H52" s="19"/>
      <c r="I52" s="19"/>
      <c r="J52" s="101"/>
      <c r="K52" s="101"/>
      <c r="L52" s="101"/>
      <c r="M52" s="43"/>
      <c r="N52" s="43"/>
      <c r="O52" s="43"/>
      <c r="P52" s="43"/>
      <c r="Q52" s="43"/>
      <c r="R52" s="43"/>
      <c r="S52" s="43"/>
      <c r="T52" s="43"/>
      <c r="U52" s="43"/>
      <c r="V52" s="43"/>
      <c r="W52" s="43"/>
      <c r="X52" s="43"/>
      <c r="Y52" s="43"/>
      <c r="Z52" s="43"/>
      <c r="AA52" s="43"/>
    </row>
    <row r="53" spans="1:29" x14ac:dyDescent="0.25">
      <c r="B53" s="111"/>
      <c r="C53" s="7"/>
      <c r="H53" s="19"/>
      <c r="I53" s="19"/>
      <c r="J53" s="16"/>
      <c r="K53" s="16"/>
      <c r="L53" s="16"/>
      <c r="M53" s="17"/>
      <c r="N53" s="17"/>
      <c r="O53" s="17"/>
      <c r="P53" s="17"/>
      <c r="Q53" s="17"/>
      <c r="R53" s="7"/>
      <c r="S53" s="6"/>
      <c r="T53" s="6"/>
      <c r="U53" s="6"/>
      <c r="V53" s="6"/>
      <c r="W53" s="6"/>
      <c r="X53" s="6"/>
      <c r="Y53" s="6"/>
      <c r="Z53" s="6"/>
      <c r="AA53" s="6"/>
    </row>
    <row r="54" spans="1:29" x14ac:dyDescent="0.25">
      <c r="B54" s="111"/>
      <c r="C54" s="26"/>
      <c r="F54" s="84">
        <v>12.31</v>
      </c>
      <c r="G54" s="82"/>
      <c r="H54" s="82"/>
      <c r="I54" s="82"/>
      <c r="J54" s="84">
        <v>16.75</v>
      </c>
      <c r="K54" s="83">
        <v>0.104854</v>
      </c>
      <c r="L54" s="83">
        <v>8.9388999999999996E-2</v>
      </c>
      <c r="M54" s="83">
        <v>7.6975000000000002E-2</v>
      </c>
      <c r="N54" s="83"/>
      <c r="O54" s="83"/>
      <c r="P54" s="83"/>
      <c r="Q54" s="83"/>
      <c r="S54" s="27">
        <f>+M$3</f>
        <v>3.0000000000000001E-3</v>
      </c>
      <c r="T54" s="27">
        <f t="shared" ref="T54:AA54" si="5">+R$3</f>
        <v>-3.1020000000000002E-3</v>
      </c>
      <c r="U54" s="27">
        <f t="shared" si="5"/>
        <v>3.5140000000000002E-3</v>
      </c>
      <c r="V54" s="27">
        <f t="shared" si="5"/>
        <v>4.5189999999999996E-3</v>
      </c>
      <c r="W54" s="27">
        <f t="shared" si="5"/>
        <v>0</v>
      </c>
      <c r="X54" s="27">
        <f t="shared" si="5"/>
        <v>7.2300000000000001E-4</v>
      </c>
      <c r="Y54" s="27">
        <f t="shared" si="5"/>
        <v>1.8860000000000001E-3</v>
      </c>
      <c r="Z54" s="27">
        <f t="shared" si="5"/>
        <v>-1.346E-3</v>
      </c>
      <c r="AA54" s="27">
        <f t="shared" si="5"/>
        <v>2.7799999999999998E-4</v>
      </c>
      <c r="AB54" s="19">
        <f>SUM(U54:Z54)</f>
        <v>9.2960000000000004E-3</v>
      </c>
    </row>
    <row r="55" spans="1:29" x14ac:dyDescent="0.25">
      <c r="A55" s="11"/>
      <c r="B55" s="111"/>
      <c r="F55" s="84"/>
      <c r="G55" s="82"/>
      <c r="H55" s="82"/>
      <c r="I55" s="82"/>
      <c r="J55" s="85">
        <v>325</v>
      </c>
      <c r="K55" s="85">
        <v>500</v>
      </c>
      <c r="L55" s="85">
        <v>500</v>
      </c>
      <c r="M55" s="85">
        <v>1000</v>
      </c>
      <c r="N55" s="85"/>
      <c r="O55" s="85"/>
      <c r="P55" s="85"/>
      <c r="Q55" s="85"/>
      <c r="S55" s="27"/>
      <c r="T55" s="27"/>
      <c r="U55" s="27"/>
      <c r="V55" s="27"/>
      <c r="W55" s="27"/>
      <c r="X55" s="27"/>
      <c r="Y55" s="27"/>
      <c r="Z55" s="27"/>
      <c r="AA55" s="27"/>
    </row>
    <row r="56" spans="1:29" x14ac:dyDescent="0.25">
      <c r="B56" s="111">
        <v>-1</v>
      </c>
      <c r="C56" s="11"/>
      <c r="D56" s="12"/>
      <c r="F56" s="12"/>
      <c r="J56" s="12" t="s">
        <v>1</v>
      </c>
      <c r="K56" s="256" t="s">
        <v>2</v>
      </c>
      <c r="L56" s="256"/>
      <c r="M56" s="256"/>
      <c r="N56" s="12"/>
      <c r="O56" s="12"/>
      <c r="P56" s="12"/>
      <c r="Q56" s="12"/>
      <c r="R56" s="12"/>
      <c r="S56" s="12">
        <v>21</v>
      </c>
      <c r="T56" s="12">
        <v>6</v>
      </c>
      <c r="U56" s="12">
        <v>3</v>
      </c>
      <c r="V56" s="12">
        <v>22</v>
      </c>
      <c r="W56" s="12">
        <v>13</v>
      </c>
      <c r="X56" s="12">
        <v>20</v>
      </c>
      <c r="Y56" s="12">
        <v>24</v>
      </c>
      <c r="Z56" s="12">
        <v>25</v>
      </c>
      <c r="AA56" s="12">
        <v>26</v>
      </c>
    </row>
    <row r="57" spans="1:29" x14ac:dyDescent="0.25">
      <c r="A57" s="13"/>
      <c r="B57" s="14">
        <v>-1</v>
      </c>
      <c r="C57" s="14"/>
      <c r="D57" s="13"/>
      <c r="F57" s="13" t="s">
        <v>4</v>
      </c>
      <c r="G57" s="13" t="s">
        <v>12</v>
      </c>
      <c r="H57" s="13" t="s">
        <v>13</v>
      </c>
      <c r="I57" s="12"/>
      <c r="J57" s="13" t="s">
        <v>5</v>
      </c>
      <c r="K57" s="13" t="s">
        <v>6</v>
      </c>
      <c r="L57" s="13" t="s">
        <v>15</v>
      </c>
      <c r="M57" s="13" t="s">
        <v>16</v>
      </c>
      <c r="N57" s="13"/>
      <c r="O57" s="13"/>
      <c r="P57" s="13"/>
      <c r="Q57" s="13"/>
      <c r="R57" s="15"/>
      <c r="S57" s="13" t="s">
        <v>70</v>
      </c>
      <c r="T57" s="13" t="s">
        <v>9</v>
      </c>
      <c r="U57" s="80" t="s">
        <v>161</v>
      </c>
      <c r="V57" s="13" t="s">
        <v>79</v>
      </c>
      <c r="W57" s="13" t="s">
        <v>10</v>
      </c>
      <c r="X57" s="13" t="s">
        <v>11</v>
      </c>
      <c r="Y57" s="80" t="s">
        <v>104</v>
      </c>
      <c r="Z57" s="80" t="s">
        <v>105</v>
      </c>
      <c r="AA57" s="80" t="s">
        <v>106</v>
      </c>
      <c r="AB57" s="77" t="s">
        <v>71</v>
      </c>
    </row>
    <row r="58" spans="1:29" x14ac:dyDescent="0.25">
      <c r="A58" s="1"/>
      <c r="B58" s="111">
        <v>-1</v>
      </c>
      <c r="C58" s="35"/>
      <c r="D58" s="12"/>
      <c r="F58" s="12"/>
      <c r="G58" s="12"/>
      <c r="H58" s="12"/>
      <c r="I58" s="12"/>
      <c r="J58" s="12"/>
      <c r="K58" s="12"/>
      <c r="L58" s="12"/>
      <c r="M58" s="12"/>
      <c r="N58" s="12"/>
      <c r="O58" s="12"/>
      <c r="P58" s="12"/>
      <c r="Q58" s="12"/>
      <c r="S58" s="51">
        <v>0.25</v>
      </c>
      <c r="T58" s="12"/>
      <c r="U58" s="12"/>
      <c r="V58" s="12"/>
      <c r="W58" s="12"/>
      <c r="X58" s="12"/>
      <c r="Y58" s="12"/>
      <c r="Z58" s="12"/>
      <c r="AA58" s="12"/>
    </row>
    <row r="59" spans="1:29" ht="13" x14ac:dyDescent="0.3">
      <c r="B59" s="111">
        <f>IF(AND('AES Indiana Sep 23 Bill Calc.'!$D$17="RC",'AES Indiana Sep 23 Bill Calc.'!$D$18="Yes 25%"),'AES Indiana Sep 23 Bill Calc.'!$D$19,-1)</f>
        <v>-1</v>
      </c>
      <c r="C59" s="94" t="s">
        <v>158</v>
      </c>
      <c r="F59" s="37" t="s">
        <v>17</v>
      </c>
      <c r="G59" s="17">
        <f>SUM(J59:M59,O59:P59,R59:AA59)</f>
        <v>12.21</v>
      </c>
      <c r="H59" s="19" t="e">
        <f>IF(ISBLANK(B59),0,+#REF!/B59)</f>
        <v>#REF!</v>
      </c>
      <c r="I59" s="19"/>
      <c r="J59" s="16">
        <f>IF(ISBLANK(B59),0,IF(B59&gt;J$55,+J$54,+F$54))</f>
        <v>12.31</v>
      </c>
      <c r="K59" s="16">
        <f>IF($B59&gt;K$55,ROUND(K$55*K$54,2),ROUND($B59*K$54,2))</f>
        <v>-0.1</v>
      </c>
      <c r="L59" s="16">
        <f>IF($B59&lt;K$55,0,IF($B59&gt;SUM(K$55:L$55),ROUND(L$55*L$54,2),ROUND(($B59-K$55)*L$54,2)))</f>
        <v>0</v>
      </c>
      <c r="M59" s="16">
        <f>IF($B59&gt;M$55,ROUND(($B59-M$55)*M$54,2),0)</f>
        <v>0</v>
      </c>
      <c r="N59" s="17">
        <f>SUM(K59:M59)</f>
        <v>-0.1</v>
      </c>
      <c r="O59" s="16"/>
      <c r="P59" s="16"/>
      <c r="Q59" s="16"/>
      <c r="S59" s="17">
        <f>ROUND($B59*S$54*S58,2)</f>
        <v>0</v>
      </c>
      <c r="T59" s="17">
        <f>ROUND($B59*T$54,2)</f>
        <v>0</v>
      </c>
      <c r="U59" s="17">
        <f t="shared" ref="U59:AA65" si="6">ROUND($B59*U$54,2)</f>
        <v>0</v>
      </c>
      <c r="V59" s="17">
        <f t="shared" si="6"/>
        <v>0</v>
      </c>
      <c r="W59" s="17">
        <f t="shared" si="6"/>
        <v>0</v>
      </c>
      <c r="X59" s="17">
        <f t="shared" si="6"/>
        <v>0</v>
      </c>
      <c r="Y59" s="17">
        <f t="shared" si="6"/>
        <v>0</v>
      </c>
      <c r="Z59" s="17">
        <f t="shared" si="6"/>
        <v>0</v>
      </c>
      <c r="AA59" s="17">
        <f t="shared" si="6"/>
        <v>0</v>
      </c>
      <c r="AB59" s="19">
        <f>SUM(U54:AA54)</f>
        <v>9.5740000000000009E-3</v>
      </c>
      <c r="AC59" s="78" t="str">
        <f>+F59</f>
        <v>RC</v>
      </c>
    </row>
    <row r="60" spans="1:29" ht="13" x14ac:dyDescent="0.3">
      <c r="A60" s="1"/>
      <c r="B60" s="111">
        <v>-1</v>
      </c>
      <c r="F60" s="37"/>
      <c r="G60" s="17"/>
      <c r="H60" s="19"/>
      <c r="I60" s="19"/>
      <c r="J60" s="16"/>
      <c r="K60" s="16"/>
      <c r="L60" s="16"/>
      <c r="M60" s="16"/>
      <c r="N60" s="16"/>
      <c r="O60" s="16"/>
      <c r="P60" s="16"/>
      <c r="Q60" s="16"/>
      <c r="S60" s="51">
        <v>0.5</v>
      </c>
      <c r="T60" s="17"/>
      <c r="U60" s="17"/>
      <c r="V60" s="17"/>
      <c r="W60" s="17"/>
      <c r="X60" s="17"/>
      <c r="Y60" s="17"/>
      <c r="Z60" s="17"/>
      <c r="AA60" s="17"/>
    </row>
    <row r="61" spans="1:29" ht="13" x14ac:dyDescent="0.3">
      <c r="B61" s="111">
        <f>IF(AND('AES Indiana Sep 23 Bill Calc.'!$D$17="RC",'AES Indiana Sep 23 Bill Calc.'!$D$18="Yes 50%"),'AES Indiana Sep 23 Bill Calc.'!$D$19,-1)</f>
        <v>-1</v>
      </c>
      <c r="C61" s="1" t="s">
        <v>72</v>
      </c>
      <c r="F61" s="37" t="s">
        <v>17</v>
      </c>
      <c r="G61" s="17">
        <f>SUM(J61:M61,O61:P61,R61:AA61)</f>
        <v>12.21</v>
      </c>
      <c r="H61" s="19" t="e">
        <f>IF(ISBLANK(B61),0,+#REF!/B61)</f>
        <v>#REF!</v>
      </c>
      <c r="J61" s="16">
        <f>IF(ISBLANK(B61),0,IF(B61&gt;J$55,+J$54,+F$54))</f>
        <v>12.31</v>
      </c>
      <c r="K61" s="16">
        <f>IF($B61&gt;K$55,ROUND(K$55*K$54,2),ROUND($B61*K$54,2))</f>
        <v>-0.1</v>
      </c>
      <c r="L61" s="16">
        <f>IF($B61&lt;K$55,0,IF($B61&gt;SUM(K$55:L$55),ROUND(L$55*L$54,2),ROUND(($B61-K$55)*L$54,2)))</f>
        <v>0</v>
      </c>
      <c r="M61" s="16">
        <f>IF($B61&gt;M$55,ROUND(($B61-M$55)*M$54,2),0)</f>
        <v>0</v>
      </c>
      <c r="N61" s="17">
        <f>SUM(K61:M61)</f>
        <v>-0.1</v>
      </c>
      <c r="O61" s="16"/>
      <c r="P61" s="16"/>
      <c r="Q61" s="16"/>
      <c r="S61" s="17">
        <f>ROUND($B61*S$54*S60,2)</f>
        <v>0</v>
      </c>
      <c r="T61" s="17">
        <f>ROUND($B61*T$54,2)</f>
        <v>0</v>
      </c>
      <c r="U61" s="17">
        <f t="shared" si="6"/>
        <v>0</v>
      </c>
      <c r="V61" s="17">
        <f t="shared" si="6"/>
        <v>0</v>
      </c>
      <c r="W61" s="17">
        <f t="shared" si="6"/>
        <v>0</v>
      </c>
      <c r="X61" s="17">
        <f t="shared" si="6"/>
        <v>0</v>
      </c>
      <c r="Y61" s="17">
        <f t="shared" si="6"/>
        <v>0</v>
      </c>
      <c r="Z61" s="17">
        <f t="shared" si="6"/>
        <v>0</v>
      </c>
      <c r="AA61" s="17">
        <f t="shared" si="6"/>
        <v>0</v>
      </c>
      <c r="AB61" s="19">
        <f>SUM(U54:AA54)+S54*S60</f>
        <v>1.1074000000000001E-2</v>
      </c>
      <c r="AC61" s="78" t="str">
        <f>+F61</f>
        <v>RC</v>
      </c>
    </row>
    <row r="62" spans="1:29" ht="13" x14ac:dyDescent="0.3">
      <c r="A62" s="1"/>
      <c r="B62" s="111">
        <v>-1</v>
      </c>
      <c r="F62" s="37"/>
      <c r="G62" s="17"/>
      <c r="H62" s="19"/>
      <c r="I62" s="19"/>
      <c r="J62" s="16"/>
      <c r="K62" s="16"/>
      <c r="L62" s="16"/>
      <c r="M62" s="16"/>
      <c r="N62" s="16"/>
      <c r="O62" s="16"/>
      <c r="P62" s="16"/>
      <c r="Q62" s="16"/>
      <c r="S62" s="51">
        <v>0</v>
      </c>
      <c r="T62" s="17"/>
      <c r="U62" s="17"/>
      <c r="V62" s="17"/>
      <c r="W62" s="17"/>
      <c r="X62" s="17"/>
      <c r="Y62" s="17"/>
      <c r="Z62" s="17"/>
      <c r="AA62" s="17"/>
    </row>
    <row r="63" spans="1:29" ht="13" x14ac:dyDescent="0.3">
      <c r="B63" s="111">
        <f>IF(AND('AES Indiana Sep 23 Bill Calc.'!$D$17="RC",'AES Indiana Sep 23 Bill Calc.'!$D$18="No"),'AES Indiana Sep 23 Bill Calc.'!$D$19,-1)</f>
        <v>-1</v>
      </c>
      <c r="C63" s="57" t="s">
        <v>172</v>
      </c>
      <c r="F63" s="37" t="s">
        <v>17</v>
      </c>
      <c r="G63" s="17">
        <f>SUM(J63:M63,O63:P63,R63:AA63)</f>
        <v>12.21</v>
      </c>
      <c r="H63" s="19" t="e">
        <f>IF(ISBLANK(B63),0,+#REF!/B63)</f>
        <v>#REF!</v>
      </c>
      <c r="J63" s="16">
        <f>IF(ISBLANK(B63),0,IF(B63&gt;J$55,+J$54,+F$54))</f>
        <v>12.31</v>
      </c>
      <c r="K63" s="16">
        <f>IF($B63&gt;K$55,ROUND(K$55*K$54,2),ROUND($B63*K$54,2))</f>
        <v>-0.1</v>
      </c>
      <c r="L63" s="16">
        <f>IF($B63&lt;K$55,0,IF($B63&gt;SUM(K$55:L$55),ROUND(L$55*L$54,2),ROUND(($B63-K$55)*L$54,2)))</f>
        <v>0</v>
      </c>
      <c r="M63" s="16">
        <f>IF($B63&gt;M$55,ROUND(($B63-M$55)*M$54,2),0)</f>
        <v>0</v>
      </c>
      <c r="N63" s="17">
        <f>SUM(K63:M63)</f>
        <v>-0.1</v>
      </c>
      <c r="O63" s="16"/>
      <c r="P63" s="16"/>
      <c r="Q63" s="16"/>
      <c r="S63" s="17">
        <f>ROUND($B63*S$54*S62,2)</f>
        <v>0</v>
      </c>
      <c r="T63" s="17">
        <f>ROUND($B63*T$54,2)</f>
        <v>0</v>
      </c>
      <c r="U63" s="17">
        <f t="shared" si="6"/>
        <v>0</v>
      </c>
      <c r="V63" s="17">
        <f t="shared" si="6"/>
        <v>0</v>
      </c>
      <c r="W63" s="17">
        <f t="shared" si="6"/>
        <v>0</v>
      </c>
      <c r="X63" s="17">
        <f t="shared" si="6"/>
        <v>0</v>
      </c>
      <c r="Y63" s="17">
        <f t="shared" si="6"/>
        <v>0</v>
      </c>
      <c r="Z63" s="17">
        <f t="shared" si="6"/>
        <v>0</v>
      </c>
      <c r="AA63" s="17">
        <f t="shared" si="6"/>
        <v>0</v>
      </c>
      <c r="AB63" s="19">
        <f>SUM(U56:AA56)+S56*S62</f>
        <v>133</v>
      </c>
      <c r="AC63" s="78" t="str">
        <f>+F63</f>
        <v>RC</v>
      </c>
    </row>
    <row r="64" spans="1:29" ht="13" x14ac:dyDescent="0.3">
      <c r="A64" s="1"/>
      <c r="B64" s="111">
        <v>-1</v>
      </c>
      <c r="F64" s="37"/>
      <c r="G64" s="17"/>
      <c r="H64" s="19"/>
      <c r="I64" s="19"/>
      <c r="J64" s="16"/>
      <c r="K64" s="16"/>
      <c r="L64" s="16"/>
      <c r="M64" s="16"/>
      <c r="N64" s="16"/>
      <c r="O64" s="16"/>
      <c r="P64" s="16"/>
      <c r="Q64" s="16"/>
      <c r="S64" s="51">
        <v>1</v>
      </c>
      <c r="T64" s="17"/>
      <c r="U64" s="17"/>
      <c r="V64" s="17"/>
      <c r="W64" s="17"/>
      <c r="X64" s="17"/>
      <c r="Y64" s="17"/>
      <c r="Z64" s="17"/>
      <c r="AA64" s="17"/>
    </row>
    <row r="65" spans="1:29" ht="13" x14ac:dyDescent="0.3">
      <c r="B65" s="111">
        <f>IF(AND('AES Indiana Sep 23 Bill Calc.'!$D$17="RC",'AES Indiana Sep 23 Bill Calc.'!$D$18="Yes 100%"),'AES Indiana Sep 23 Bill Calc.'!$D$19,-1)</f>
        <v>-1</v>
      </c>
      <c r="C65" s="57" t="s">
        <v>73</v>
      </c>
      <c r="F65" s="37" t="s">
        <v>17</v>
      </c>
      <c r="G65" s="17">
        <f>SUM(J65:M65,O65:P65,R65:AA65)</f>
        <v>12.21</v>
      </c>
      <c r="H65" s="19" t="e">
        <f>IF(ISBLANK(B65),0,+#REF!/B65)</f>
        <v>#REF!</v>
      </c>
      <c r="J65" s="16">
        <f>IF(ISBLANK(B65),0,IF(B65&gt;J$55,+J$54,+F$54))</f>
        <v>12.31</v>
      </c>
      <c r="K65" s="16">
        <f>IF($B65&gt;K$55,ROUND(K$55*K$54,2),ROUND($B65*K$54,2))</f>
        <v>-0.1</v>
      </c>
      <c r="L65" s="16">
        <f>IF($B65&lt;K$55,0,IF($B65&gt;SUM(K$55:L$55),ROUND(L$55*L$54,2),ROUND(($B65-K$55)*L$54,2)))</f>
        <v>0</v>
      </c>
      <c r="M65" s="16">
        <f>IF($B65&gt;M$55,ROUND(($B65-M$55)*M$54,2),0)</f>
        <v>0</v>
      </c>
      <c r="N65" s="17">
        <f>SUM(K65:M65)</f>
        <v>-0.1</v>
      </c>
      <c r="O65" s="16"/>
      <c r="P65" s="16"/>
      <c r="Q65" s="16"/>
      <c r="S65" s="17">
        <f>ROUND($B65*S$54*S64,2)</f>
        <v>0</v>
      </c>
      <c r="T65" s="17">
        <f>ROUND($B65*T$54,2)</f>
        <v>0</v>
      </c>
      <c r="U65" s="17">
        <f t="shared" si="6"/>
        <v>0</v>
      </c>
      <c r="V65" s="17">
        <f t="shared" si="6"/>
        <v>0</v>
      </c>
      <c r="W65" s="17">
        <f t="shared" si="6"/>
        <v>0</v>
      </c>
      <c r="X65" s="17">
        <f t="shared" si="6"/>
        <v>0</v>
      </c>
      <c r="Y65" s="17">
        <f t="shared" si="6"/>
        <v>0</v>
      </c>
      <c r="Z65" s="17">
        <f t="shared" si="6"/>
        <v>0</v>
      </c>
      <c r="AA65" s="17">
        <f t="shared" si="6"/>
        <v>0</v>
      </c>
      <c r="AB65" s="19">
        <f>SUM(U58:AA58)+S58*S64</f>
        <v>0.25</v>
      </c>
      <c r="AC65" s="78" t="str">
        <f>+F65</f>
        <v>RC</v>
      </c>
    </row>
    <row r="66" spans="1:29" x14ac:dyDescent="0.25">
      <c r="B66" s="111">
        <v>-1</v>
      </c>
      <c r="G66" s="17"/>
      <c r="H66" s="19"/>
      <c r="I66" s="19"/>
      <c r="J66" s="8"/>
      <c r="K66" s="16"/>
      <c r="L66" s="16"/>
      <c r="M66" s="17"/>
      <c r="N66" s="17"/>
      <c r="O66" s="17"/>
      <c r="P66" s="17"/>
      <c r="Q66" s="17"/>
      <c r="R66" s="17"/>
      <c r="S66" s="17"/>
      <c r="T66" s="17"/>
      <c r="U66" s="17"/>
      <c r="V66" s="17"/>
      <c r="W66" s="17"/>
      <c r="X66" s="17"/>
      <c r="Y66" s="17"/>
      <c r="Z66" s="17"/>
      <c r="AA66" s="17"/>
    </row>
    <row r="67" spans="1:29" x14ac:dyDescent="0.25">
      <c r="B67" s="111">
        <v>-1</v>
      </c>
      <c r="C67" s="4"/>
      <c r="H67" s="19"/>
      <c r="I67" s="19"/>
      <c r="J67" s="8"/>
      <c r="K67" s="16"/>
      <c r="L67" s="16"/>
      <c r="M67" s="17"/>
      <c r="N67" s="17"/>
      <c r="O67" s="17"/>
      <c r="P67" s="17"/>
      <c r="Q67" s="17"/>
      <c r="R67" s="17"/>
      <c r="S67" s="6"/>
      <c r="T67" s="6"/>
      <c r="U67" s="6"/>
      <c r="V67" s="6"/>
      <c r="W67" s="6"/>
      <c r="X67" s="6"/>
      <c r="Y67" s="6"/>
      <c r="Z67" s="6"/>
      <c r="AA67" s="6"/>
    </row>
    <row r="68" spans="1:29" x14ac:dyDescent="0.25">
      <c r="B68" s="111">
        <v>-1</v>
      </c>
      <c r="C68" s="4"/>
      <c r="F68" s="84">
        <v>12.31</v>
      </c>
      <c r="G68" s="82"/>
      <c r="H68" s="82"/>
      <c r="I68" s="82"/>
      <c r="J68" s="84">
        <v>16.75</v>
      </c>
      <c r="K68" s="83">
        <v>0.104854</v>
      </c>
      <c r="L68" s="83">
        <v>8.9388999999999996E-2</v>
      </c>
      <c r="M68" s="83">
        <v>7.6975000000000002E-2</v>
      </c>
      <c r="N68" s="83"/>
      <c r="O68" s="83"/>
      <c r="P68" s="83"/>
      <c r="Q68" s="83"/>
      <c r="R68" s="5"/>
      <c r="S68" s="27">
        <f>+M$3</f>
        <v>3.0000000000000001E-3</v>
      </c>
      <c r="T68" s="27">
        <f t="shared" ref="T68:AA68" si="7">+R$3</f>
        <v>-3.1020000000000002E-3</v>
      </c>
      <c r="U68" s="27">
        <f t="shared" si="7"/>
        <v>3.5140000000000002E-3</v>
      </c>
      <c r="V68" s="27">
        <f t="shared" si="7"/>
        <v>4.5189999999999996E-3</v>
      </c>
      <c r="W68" s="27">
        <f t="shared" si="7"/>
        <v>0</v>
      </c>
      <c r="X68" s="27">
        <f t="shared" si="7"/>
        <v>7.2300000000000001E-4</v>
      </c>
      <c r="Y68" s="27">
        <f t="shared" si="7"/>
        <v>1.8860000000000001E-3</v>
      </c>
      <c r="Z68" s="27">
        <f t="shared" si="7"/>
        <v>-1.346E-3</v>
      </c>
      <c r="AA68" s="27">
        <f t="shared" si="7"/>
        <v>2.7799999999999998E-4</v>
      </c>
      <c r="AB68" s="19">
        <f>SUM(U68:Z68)</f>
        <v>9.2960000000000004E-3</v>
      </c>
    </row>
    <row r="69" spans="1:29" x14ac:dyDescent="0.25">
      <c r="A69" s="11"/>
      <c r="B69" s="111">
        <v>-1</v>
      </c>
      <c r="F69" s="84"/>
      <c r="G69" s="86"/>
      <c r="H69" s="87"/>
      <c r="I69" s="87"/>
      <c r="J69" s="85">
        <v>325</v>
      </c>
      <c r="K69" s="85">
        <v>500</v>
      </c>
      <c r="L69" s="85">
        <v>500</v>
      </c>
      <c r="M69" s="85">
        <v>1000</v>
      </c>
      <c r="N69" s="85"/>
      <c r="O69" s="85"/>
      <c r="P69" s="85"/>
      <c r="Q69" s="85"/>
      <c r="R69" s="9"/>
      <c r="S69" s="17"/>
      <c r="T69" s="17"/>
      <c r="U69" s="17"/>
      <c r="V69" s="17"/>
      <c r="W69" s="17"/>
      <c r="X69" s="17"/>
      <c r="Y69" s="17"/>
      <c r="Z69" s="17"/>
      <c r="AA69" s="17"/>
    </row>
    <row r="70" spans="1:29" ht="13" x14ac:dyDescent="0.3">
      <c r="B70" s="111">
        <v>-1</v>
      </c>
      <c r="C70" s="29"/>
      <c r="F70" s="12"/>
      <c r="J70" s="12" t="s">
        <v>1</v>
      </c>
      <c r="K70" s="256" t="s">
        <v>2</v>
      </c>
      <c r="L70" s="256"/>
      <c r="M70" s="256"/>
      <c r="N70" s="12"/>
      <c r="O70" s="12"/>
      <c r="P70" s="12"/>
      <c r="Q70" s="12"/>
      <c r="R70" s="12"/>
      <c r="S70" s="12">
        <v>21</v>
      </c>
      <c r="T70" s="12">
        <v>6</v>
      </c>
      <c r="U70" s="12">
        <v>3</v>
      </c>
      <c r="V70" s="12">
        <v>22</v>
      </c>
      <c r="W70" s="12">
        <v>13</v>
      </c>
      <c r="X70" s="12">
        <v>20</v>
      </c>
      <c r="Y70" s="12">
        <v>24</v>
      </c>
      <c r="Z70" s="12">
        <v>25</v>
      </c>
      <c r="AA70" s="12">
        <v>26</v>
      </c>
    </row>
    <row r="71" spans="1:29" x14ac:dyDescent="0.25">
      <c r="A71" s="13"/>
      <c r="B71" s="14">
        <v>-1</v>
      </c>
      <c r="C71" s="14"/>
      <c r="D71" s="15"/>
      <c r="F71" s="13" t="s">
        <v>4</v>
      </c>
      <c r="G71" s="13" t="s">
        <v>12</v>
      </c>
      <c r="H71" s="13" t="s">
        <v>13</v>
      </c>
      <c r="I71" s="12"/>
      <c r="J71" s="13" t="s">
        <v>5</v>
      </c>
      <c r="K71" s="13" t="s">
        <v>6</v>
      </c>
      <c r="L71" s="13" t="s">
        <v>15</v>
      </c>
      <c r="M71" s="13" t="s">
        <v>16</v>
      </c>
      <c r="N71" s="13"/>
      <c r="O71" s="13"/>
      <c r="P71" s="13"/>
      <c r="Q71" s="13"/>
      <c r="R71" s="13"/>
      <c r="S71" s="13" t="s">
        <v>70</v>
      </c>
      <c r="T71" s="13" t="s">
        <v>9</v>
      </c>
      <c r="U71" s="80" t="s">
        <v>161</v>
      </c>
      <c r="V71" s="13" t="s">
        <v>79</v>
      </c>
      <c r="W71" s="13" t="s">
        <v>10</v>
      </c>
      <c r="X71" s="13" t="s">
        <v>11</v>
      </c>
      <c r="Y71" s="80" t="s">
        <v>104</v>
      </c>
      <c r="Z71" s="80" t="s">
        <v>105</v>
      </c>
      <c r="AA71" s="80" t="s">
        <v>106</v>
      </c>
      <c r="AB71" s="77" t="s">
        <v>71</v>
      </c>
    </row>
    <row r="72" spans="1:29" x14ac:dyDescent="0.25">
      <c r="A72" s="1"/>
      <c r="B72" s="111">
        <v>-1</v>
      </c>
      <c r="C72" s="35"/>
      <c r="F72" s="12"/>
      <c r="G72" s="12"/>
      <c r="H72" s="12"/>
      <c r="I72" s="12"/>
      <c r="J72" s="12"/>
      <c r="K72" s="12"/>
      <c r="L72" s="12"/>
      <c r="M72" s="12"/>
      <c r="N72" s="12"/>
      <c r="O72" s="12"/>
      <c r="P72" s="12"/>
      <c r="Q72" s="12"/>
      <c r="R72" s="12"/>
      <c r="S72" s="51">
        <v>0</v>
      </c>
      <c r="T72" s="12"/>
      <c r="U72" s="12"/>
      <c r="V72" s="12"/>
      <c r="W72" s="12"/>
      <c r="X72" s="12"/>
      <c r="Y72" s="12"/>
      <c r="Z72" s="12"/>
      <c r="AA72" s="12"/>
    </row>
    <row r="73" spans="1:29" ht="13" x14ac:dyDescent="0.3">
      <c r="B73" s="111">
        <f>IF(AND('AES Indiana Sep 23 Bill Calc.'!$D$17="RH",'AES Indiana Sep 23 Bill Calc.'!$D$18="No"),'AES Indiana Sep 23 Bill Calc.'!$D$19,-1)</f>
        <v>-1</v>
      </c>
      <c r="C73" s="57" t="s">
        <v>172</v>
      </c>
      <c r="F73" s="37" t="s">
        <v>18</v>
      </c>
      <c r="G73" s="17">
        <f>SUM(J73:M73,O73:P73,R73:AA73)</f>
        <v>12.21</v>
      </c>
      <c r="H73" s="19" t="e">
        <f>IF(ISBLANK(B73),0,+#REF!/B73)</f>
        <v>#REF!</v>
      </c>
      <c r="I73" s="19"/>
      <c r="J73" s="16">
        <f>IF(ISBLANK(B73),0,IF(B73&gt;J$69,+J$68,+F$68))</f>
        <v>12.31</v>
      </c>
      <c r="K73" s="16">
        <f>IF($B73&gt;K$69,ROUND(K$69*K$68,2),ROUND($B73*K$68,2))</f>
        <v>-0.1</v>
      </c>
      <c r="L73" s="16">
        <f>IF($B73&lt;K$69,0,IF($B73&gt;SUM(K$69:L$69),ROUND(L$69*L$68,2),ROUND(($B73-K$69)*L$68,2)))</f>
        <v>0</v>
      </c>
      <c r="M73" s="16">
        <f>IF($B73&gt;M$69,ROUND(($B73-M$69)*M$68,2),0)</f>
        <v>0</v>
      </c>
      <c r="N73" s="17">
        <f>SUM(K73:M73)</f>
        <v>-0.1</v>
      </c>
      <c r="O73" s="16"/>
      <c r="P73" s="16"/>
      <c r="Q73" s="16"/>
      <c r="R73" s="50"/>
      <c r="S73" s="17">
        <f>ROUND($B73*S$68*S72,2)</f>
        <v>0</v>
      </c>
      <c r="T73" s="17">
        <f t="shared" ref="T73:AA73" si="8">ROUND($B73*T$68,2)</f>
        <v>0</v>
      </c>
      <c r="U73" s="17">
        <f t="shared" si="8"/>
        <v>0</v>
      </c>
      <c r="V73" s="17">
        <f t="shared" si="8"/>
        <v>0</v>
      </c>
      <c r="W73" s="17">
        <f t="shared" si="8"/>
        <v>0</v>
      </c>
      <c r="X73" s="17">
        <f t="shared" si="8"/>
        <v>0</v>
      </c>
      <c r="Y73" s="17">
        <f t="shared" si="8"/>
        <v>0</v>
      </c>
      <c r="Z73" s="17">
        <f t="shared" si="8"/>
        <v>0</v>
      </c>
      <c r="AA73" s="17">
        <f t="shared" si="8"/>
        <v>0</v>
      </c>
      <c r="AB73" s="19">
        <f>SUM(U68:AA68)</f>
        <v>9.5740000000000009E-3</v>
      </c>
      <c r="AC73" s="78" t="str">
        <f>+F73</f>
        <v>RH</v>
      </c>
    </row>
    <row r="74" spans="1:29" ht="13" x14ac:dyDescent="0.3">
      <c r="A74" s="94"/>
      <c r="B74" s="111">
        <v>-1</v>
      </c>
      <c r="F74" s="37"/>
      <c r="G74" s="17"/>
      <c r="H74" s="19"/>
      <c r="I74" s="19"/>
      <c r="J74" s="16"/>
      <c r="K74" s="16"/>
      <c r="L74" s="16"/>
      <c r="M74" s="16"/>
      <c r="N74" s="16"/>
      <c r="O74" s="16"/>
      <c r="P74" s="16"/>
      <c r="Q74" s="16"/>
      <c r="R74" s="16"/>
      <c r="S74" s="51">
        <v>1</v>
      </c>
      <c r="T74" s="17"/>
      <c r="U74" s="17"/>
      <c r="V74" s="17"/>
      <c r="W74" s="17"/>
      <c r="X74" s="17"/>
      <c r="Y74" s="17"/>
      <c r="Z74" s="17"/>
      <c r="AA74" s="17"/>
    </row>
    <row r="75" spans="1:29" ht="13" x14ac:dyDescent="0.3">
      <c r="B75" s="111">
        <f>IF(AND('AES Indiana Sep 23 Bill Calc.'!$D$17="RH",'AES Indiana Sep 23 Bill Calc.'!$D$18="Yes 100%"),'AES Indiana Sep 23 Bill Calc.'!$D$19,-1)</f>
        <v>-1</v>
      </c>
      <c r="C75" s="1" t="s">
        <v>73</v>
      </c>
      <c r="F75" s="37" t="s">
        <v>18</v>
      </c>
      <c r="G75" s="17">
        <f>SUM(J75:M75,O75:P75,R75:AA75)</f>
        <v>12.21</v>
      </c>
      <c r="H75" s="19" t="e">
        <f>IF(ISBLANK(B75),0,+#REF!/B75)</f>
        <v>#REF!</v>
      </c>
      <c r="I75" s="19"/>
      <c r="J75" s="16">
        <f>IF(ISBLANK(B75),0,IF(B75&gt;J$69,+J$68,+F$68))</f>
        <v>12.31</v>
      </c>
      <c r="K75" s="16">
        <f>IF($B75&gt;K$69,ROUND(K$69*K$68,2),ROUND($B75*K$68,2))</f>
        <v>-0.1</v>
      </c>
      <c r="L75" s="16">
        <f>IF($B75&lt;K$69,0,IF($B75&gt;SUM(K$69:L$69),ROUND(L$69*L$68,2),ROUND(($B75-K$69)*L$68,2)))</f>
        <v>0</v>
      </c>
      <c r="M75" s="16">
        <f>IF($B75&gt;M$69,ROUND(($B75-M$69)*M$68,2),0)</f>
        <v>0</v>
      </c>
      <c r="N75" s="17">
        <f>SUM(K75:M75)</f>
        <v>-0.1</v>
      </c>
      <c r="O75" s="16"/>
      <c r="P75" s="16"/>
      <c r="Q75" s="16"/>
      <c r="R75" s="50"/>
      <c r="S75" s="17">
        <f>ROUND($B75*S$68*S74,2)</f>
        <v>0</v>
      </c>
      <c r="T75" s="17">
        <f>ROUND($B75*T$68,2)</f>
        <v>0</v>
      </c>
      <c r="U75" s="17">
        <f t="shared" ref="U75:AA79" si="9">ROUND($B75*U$68,2)</f>
        <v>0</v>
      </c>
      <c r="V75" s="17">
        <f t="shared" si="9"/>
        <v>0</v>
      </c>
      <c r="W75" s="17">
        <f t="shared" si="9"/>
        <v>0</v>
      </c>
      <c r="X75" s="17">
        <f t="shared" si="9"/>
        <v>0</v>
      </c>
      <c r="Y75" s="17">
        <f t="shared" si="9"/>
        <v>0</v>
      </c>
      <c r="Z75" s="17">
        <f t="shared" si="9"/>
        <v>0</v>
      </c>
      <c r="AA75" s="17">
        <f t="shared" si="9"/>
        <v>0</v>
      </c>
      <c r="AB75" s="19">
        <f>SUM(U68:AA68)+S68*S74</f>
        <v>1.2574000000000002E-2</v>
      </c>
      <c r="AC75" s="78" t="str">
        <f>+F75</f>
        <v>RH</v>
      </c>
    </row>
    <row r="76" spans="1:29" ht="13" x14ac:dyDescent="0.3">
      <c r="A76" s="94"/>
      <c r="B76" s="111">
        <v>-1</v>
      </c>
      <c r="F76" s="37"/>
      <c r="G76" s="17"/>
      <c r="H76" s="19"/>
      <c r="I76" s="19"/>
      <c r="J76" s="16"/>
      <c r="K76" s="16"/>
      <c r="L76" s="16"/>
      <c r="M76" s="16"/>
      <c r="N76" s="16"/>
      <c r="O76" s="16"/>
      <c r="P76" s="16"/>
      <c r="Q76" s="16"/>
      <c r="R76" s="16"/>
      <c r="S76" s="51">
        <v>0.5</v>
      </c>
      <c r="T76" s="17"/>
      <c r="U76" s="17"/>
      <c r="V76" s="17"/>
      <c r="W76" s="17"/>
      <c r="X76" s="17"/>
      <c r="Y76" s="17"/>
      <c r="Z76" s="17"/>
      <c r="AA76" s="17"/>
    </row>
    <row r="77" spans="1:29" ht="13" x14ac:dyDescent="0.3">
      <c r="B77" s="111">
        <f>IF(AND('AES Indiana Sep 23 Bill Calc.'!$D$17="RH",'AES Indiana Sep 23 Bill Calc.'!$D$18="Yes 50%"),'AES Indiana Sep 23 Bill Calc.'!$D$19,-1)</f>
        <v>-1</v>
      </c>
      <c r="C77" s="57" t="s">
        <v>171</v>
      </c>
      <c r="F77" s="37" t="s">
        <v>18</v>
      </c>
      <c r="G77" s="17">
        <f>SUM(J77:M77,O77:P77,R77:AA77)</f>
        <v>12.21</v>
      </c>
      <c r="H77" s="19" t="e">
        <f>IF(ISBLANK(B77),0,+#REF!/B77)</f>
        <v>#REF!</v>
      </c>
      <c r="I77" s="19"/>
      <c r="J77" s="16">
        <f>IF(ISBLANK(B77),0,IF(B77&gt;J$69,+J$68,+F$68))</f>
        <v>12.31</v>
      </c>
      <c r="K77" s="16">
        <f>IF($B77&gt;K$69,ROUND(K$69*K$68,2),ROUND($B77*K$68,2))</f>
        <v>-0.1</v>
      </c>
      <c r="L77" s="16">
        <f>IF($B77&lt;K$69,0,IF($B77&gt;SUM(K$69:L$69),ROUND(L$69*L$68,2),ROUND(($B77-K$69)*L$68,2)))</f>
        <v>0</v>
      </c>
      <c r="M77" s="16">
        <f>IF($B77&gt;M$69,ROUND(($B77-M$69)*M$68,2),0)</f>
        <v>0</v>
      </c>
      <c r="N77" s="17">
        <f>SUM(K77:M77)</f>
        <v>-0.1</v>
      </c>
      <c r="O77" s="16"/>
      <c r="P77" s="16"/>
      <c r="Q77" s="16"/>
      <c r="R77" s="50"/>
      <c r="S77" s="17">
        <f>ROUND($B77*S$68*S76,2)</f>
        <v>0</v>
      </c>
      <c r="T77" s="17">
        <f>ROUND($B77*T$68,2)</f>
        <v>0</v>
      </c>
      <c r="U77" s="17">
        <f t="shared" si="9"/>
        <v>0</v>
      </c>
      <c r="V77" s="17">
        <f t="shared" si="9"/>
        <v>0</v>
      </c>
      <c r="W77" s="17">
        <f t="shared" si="9"/>
        <v>0</v>
      </c>
      <c r="X77" s="17">
        <f t="shared" si="9"/>
        <v>0</v>
      </c>
      <c r="Y77" s="17">
        <f t="shared" si="9"/>
        <v>0</v>
      </c>
      <c r="Z77" s="17">
        <f t="shared" si="9"/>
        <v>0</v>
      </c>
      <c r="AA77" s="17">
        <f t="shared" si="9"/>
        <v>0</v>
      </c>
      <c r="AB77" s="19">
        <f>SUM(U70:AA70)+S70*S76</f>
        <v>143.5</v>
      </c>
      <c r="AC77" s="78" t="str">
        <f>+F77</f>
        <v>RH</v>
      </c>
    </row>
    <row r="78" spans="1:29" ht="13" x14ac:dyDescent="0.3">
      <c r="A78" s="94"/>
      <c r="B78" s="111">
        <v>-1</v>
      </c>
      <c r="F78" s="37"/>
      <c r="G78" s="17"/>
      <c r="H78" s="19"/>
      <c r="I78" s="19"/>
      <c r="J78" s="16"/>
      <c r="K78" s="16"/>
      <c r="L78" s="16"/>
      <c r="M78" s="16"/>
      <c r="N78" s="16"/>
      <c r="O78" s="16"/>
      <c r="P78" s="16"/>
      <c r="Q78" s="16"/>
      <c r="R78" s="16"/>
      <c r="S78" s="51">
        <v>0.25</v>
      </c>
      <c r="T78" s="17"/>
      <c r="U78" s="17"/>
      <c r="V78" s="17"/>
      <c r="W78" s="17"/>
      <c r="X78" s="17"/>
      <c r="Y78" s="17"/>
      <c r="Z78" s="17"/>
      <c r="AA78" s="17"/>
    </row>
    <row r="79" spans="1:29" ht="13" x14ac:dyDescent="0.3">
      <c r="B79" s="111">
        <f>IF(AND('AES Indiana Sep 23 Bill Calc.'!$D$17="RH",'AES Indiana Sep 23 Bill Calc.'!$D$18="Yes 25%"),'AES Indiana Sep 23 Bill Calc.'!$D$19,-1)</f>
        <v>-1</v>
      </c>
      <c r="C79" s="57" t="s">
        <v>158</v>
      </c>
      <c r="F79" s="37" t="s">
        <v>18</v>
      </c>
      <c r="G79" s="17">
        <f>SUM(J79:M79,O79:P79,R79:AA79)</f>
        <v>12.21</v>
      </c>
      <c r="H79" s="19" t="e">
        <f>IF(ISBLANK(B79),0,+#REF!/B79)</f>
        <v>#REF!</v>
      </c>
      <c r="I79" s="19"/>
      <c r="J79" s="16">
        <f>IF(ISBLANK(B79),0,IF(B79&gt;J$69,+J$68,+F$68))</f>
        <v>12.31</v>
      </c>
      <c r="K79" s="16">
        <f>IF($B79&gt;K$69,ROUND(K$69*K$68,2),ROUND($B79*K$68,2))</f>
        <v>-0.1</v>
      </c>
      <c r="L79" s="16">
        <f>IF($B79&lt;K$69,0,IF($B79&gt;SUM(K$69:L$69),ROUND(L$69*L$68,2),ROUND(($B79-K$69)*L$68,2)))</f>
        <v>0</v>
      </c>
      <c r="M79" s="16">
        <f>IF($B79&gt;M$69,ROUND(($B79-M$69)*M$68,2),0)</f>
        <v>0</v>
      </c>
      <c r="N79" s="17">
        <f>SUM(K79:M79)</f>
        <v>-0.1</v>
      </c>
      <c r="O79" s="16"/>
      <c r="P79" s="16"/>
      <c r="Q79" s="16"/>
      <c r="R79" s="50"/>
      <c r="S79" s="17">
        <f>ROUND($B79*S$68*S78,2)</f>
        <v>0</v>
      </c>
      <c r="T79" s="17">
        <f>ROUND($B79*T$68,2)</f>
        <v>0</v>
      </c>
      <c r="U79" s="17">
        <f t="shared" si="9"/>
        <v>0</v>
      </c>
      <c r="V79" s="17">
        <f t="shared" si="9"/>
        <v>0</v>
      </c>
      <c r="W79" s="17">
        <f t="shared" si="9"/>
        <v>0</v>
      </c>
      <c r="X79" s="17">
        <f t="shared" si="9"/>
        <v>0</v>
      </c>
      <c r="Y79" s="17">
        <f t="shared" si="9"/>
        <v>0</v>
      </c>
      <c r="Z79" s="17">
        <f t="shared" si="9"/>
        <v>0</v>
      </c>
      <c r="AA79" s="17">
        <f t="shared" si="9"/>
        <v>0</v>
      </c>
      <c r="AB79" s="19">
        <f>SUM(U72:AA72)+S72*S78</f>
        <v>0</v>
      </c>
      <c r="AC79" s="78" t="str">
        <f>+F79</f>
        <v>RH</v>
      </c>
    </row>
    <row r="80" spans="1:29" x14ac:dyDescent="0.25">
      <c r="B80" s="111">
        <v>-1</v>
      </c>
      <c r="C80" s="1"/>
      <c r="F80" s="30"/>
      <c r="G80" s="17"/>
      <c r="H80" s="19"/>
      <c r="I80" s="19"/>
      <c r="J80" s="16"/>
      <c r="K80" s="16"/>
      <c r="L80" s="16"/>
      <c r="M80" s="16"/>
      <c r="N80" s="16"/>
      <c r="O80" s="16"/>
      <c r="P80" s="16"/>
      <c r="Q80" s="16"/>
      <c r="R80" s="16"/>
      <c r="S80" s="17"/>
      <c r="T80" s="17"/>
      <c r="U80" s="17"/>
      <c r="V80" s="17"/>
      <c r="W80" s="17"/>
      <c r="X80" s="17"/>
      <c r="Y80" s="17"/>
      <c r="Z80" s="17"/>
      <c r="AA80" s="17"/>
    </row>
    <row r="81" spans="1:29" ht="13.5" thickBot="1" x14ac:dyDescent="0.35">
      <c r="A81" s="20"/>
      <c r="B81" s="121">
        <v>-1</v>
      </c>
      <c r="C81" s="28"/>
      <c r="D81" s="21"/>
      <c r="F81" s="31"/>
      <c r="G81" s="23"/>
      <c r="H81" s="21"/>
      <c r="J81" s="24"/>
      <c r="K81" s="24"/>
      <c r="L81" s="24"/>
      <c r="M81" s="24"/>
      <c r="N81" s="24"/>
      <c r="O81" s="24"/>
      <c r="P81" s="24"/>
      <c r="Q81" s="24"/>
      <c r="R81" s="24"/>
      <c r="S81" s="23"/>
      <c r="T81" s="23"/>
      <c r="U81" s="23"/>
      <c r="V81" s="23"/>
      <c r="W81" s="23"/>
      <c r="X81" s="23"/>
      <c r="Y81" s="23"/>
      <c r="Z81" s="23"/>
      <c r="AA81" s="23"/>
      <c r="AB81" s="21"/>
    </row>
    <row r="82" spans="1:29" x14ac:dyDescent="0.25">
      <c r="B82" s="111">
        <v>-1</v>
      </c>
      <c r="V82" s="27">
        <f>+T9</f>
        <v>0</v>
      </c>
      <c r="W82" s="6" t="s">
        <v>100</v>
      </c>
      <c r="AB82" s="19" t="e">
        <f>+AB$90-V$90+#REF!</f>
        <v>#REF!</v>
      </c>
    </row>
    <row r="83" spans="1:29" x14ac:dyDescent="0.25">
      <c r="B83" s="111">
        <v>-1</v>
      </c>
      <c r="S83" s="6"/>
      <c r="T83" s="6"/>
      <c r="U83" s="6"/>
      <c r="V83" s="27">
        <f>+T11</f>
        <v>0</v>
      </c>
      <c r="W83" s="6" t="s">
        <v>114</v>
      </c>
      <c r="X83" s="6"/>
      <c r="Y83" s="6"/>
      <c r="Z83" s="6"/>
      <c r="AA83" s="6"/>
      <c r="AB83" s="19">
        <f>+AB$90-V$90+V82</f>
        <v>4.2679999999999992E-3</v>
      </c>
    </row>
    <row r="84" spans="1:29" x14ac:dyDescent="0.25">
      <c r="B84" s="111">
        <v>-1</v>
      </c>
      <c r="S84" s="6"/>
      <c r="T84" s="6"/>
      <c r="U84" s="6"/>
      <c r="V84" s="27">
        <f>T15</f>
        <v>1.9999999999999999E-6</v>
      </c>
      <c r="W84" s="6" t="s">
        <v>121</v>
      </c>
      <c r="X84" s="6"/>
      <c r="Y84" s="6"/>
      <c r="Z84" s="6"/>
      <c r="AA84" s="6"/>
      <c r="AB84" s="19">
        <f>+AB$90-V$90+V83</f>
        <v>4.2679999999999992E-3</v>
      </c>
    </row>
    <row r="85" spans="1:29" x14ac:dyDescent="0.25">
      <c r="B85" s="111">
        <v>-1</v>
      </c>
      <c r="S85" s="6"/>
      <c r="T85" s="6"/>
      <c r="U85" s="6"/>
      <c r="V85" s="27">
        <f>$T$18</f>
        <v>3.19E-4</v>
      </c>
      <c r="W85" s="6" t="s">
        <v>140</v>
      </c>
      <c r="X85" s="6"/>
      <c r="Y85" s="6"/>
      <c r="Z85" s="6"/>
      <c r="AA85" s="6"/>
      <c r="AB85" s="19"/>
    </row>
    <row r="86" spans="1:29" x14ac:dyDescent="0.25">
      <c r="B86" s="111">
        <v>-1</v>
      </c>
      <c r="S86" s="6"/>
      <c r="T86" s="6"/>
      <c r="U86" s="6"/>
      <c r="V86" s="27">
        <f>$T$20</f>
        <v>3.3799999999999998E-4</v>
      </c>
      <c r="W86" s="6" t="s">
        <v>93</v>
      </c>
      <c r="X86" s="6"/>
      <c r="Y86" s="6"/>
      <c r="Z86" s="6"/>
      <c r="AA86" s="6"/>
      <c r="AB86" s="19"/>
    </row>
    <row r="87" spans="1:29" x14ac:dyDescent="0.25">
      <c r="B87" s="111">
        <v>-1</v>
      </c>
      <c r="S87" s="6"/>
      <c r="T87" s="6"/>
      <c r="U87" s="6"/>
      <c r="V87" s="27">
        <f>$T$22</f>
        <v>1.604E-3</v>
      </c>
      <c r="W87" s="6" t="s">
        <v>164</v>
      </c>
      <c r="X87" s="6"/>
      <c r="Y87" s="6"/>
      <c r="Z87" s="6"/>
      <c r="AA87" s="6"/>
      <c r="AB87" s="19"/>
    </row>
    <row r="88" spans="1:29" x14ac:dyDescent="0.25">
      <c r="B88" s="111">
        <v>-1</v>
      </c>
      <c r="S88" s="6"/>
      <c r="T88" s="6"/>
      <c r="U88" s="6"/>
      <c r="V88" s="147">
        <f>T24</f>
        <v>0</v>
      </c>
      <c r="W88" s="6" t="s">
        <v>177</v>
      </c>
      <c r="X88" s="6"/>
      <c r="Y88" s="6"/>
      <c r="Z88" s="6"/>
      <c r="AA88" s="6"/>
      <c r="AB88" s="19"/>
    </row>
    <row r="89" spans="1:29" x14ac:dyDescent="0.25">
      <c r="B89" s="111">
        <v>-1</v>
      </c>
      <c r="S89" s="6"/>
      <c r="T89" s="6"/>
      <c r="U89" s="6"/>
      <c r="V89" s="19">
        <f>T26</f>
        <v>3.2720000000000002E-3</v>
      </c>
      <c r="W89" s="6" t="s">
        <v>294</v>
      </c>
      <c r="X89" s="6"/>
      <c r="Y89" s="6"/>
      <c r="Z89" s="6"/>
      <c r="AA89" s="6"/>
      <c r="AB89" s="19"/>
    </row>
    <row r="90" spans="1:29" x14ac:dyDescent="0.25">
      <c r="B90" s="111">
        <v>-1</v>
      </c>
      <c r="C90" s="4"/>
      <c r="F90" s="84">
        <v>39.4</v>
      </c>
      <c r="G90" s="82"/>
      <c r="H90" s="82"/>
      <c r="I90" s="82"/>
      <c r="J90" s="84">
        <v>54.18</v>
      </c>
      <c r="K90" s="83">
        <v>0.103072</v>
      </c>
      <c r="L90" s="83">
        <v>8.8592000000000004E-2</v>
      </c>
      <c r="M90" s="5"/>
      <c r="N90" s="5"/>
      <c r="O90" s="5"/>
      <c r="P90" s="5"/>
      <c r="Q90" s="5"/>
      <c r="R90" s="5"/>
      <c r="S90" s="27">
        <f>+M$4</f>
        <v>3.0000000000000001E-3</v>
      </c>
      <c r="T90" s="27">
        <f t="shared" ref="T90:AA90" si="10">+R$4</f>
        <v>-3.1020000000000002E-3</v>
      </c>
      <c r="U90" s="142">
        <f>+S$4</f>
        <v>3.0219999999999999E-3</v>
      </c>
      <c r="V90" s="27">
        <f>+T$4</f>
        <v>7.5160000000000001E-3</v>
      </c>
      <c r="W90" s="27">
        <f t="shared" si="10"/>
        <v>0</v>
      </c>
      <c r="X90" s="27">
        <f t="shared" si="10"/>
        <v>6.9700000000000003E-4</v>
      </c>
      <c r="Y90" s="27">
        <f t="shared" si="10"/>
        <v>1.807E-3</v>
      </c>
      <c r="Z90" s="27">
        <f t="shared" si="10"/>
        <v>-1.258E-3</v>
      </c>
      <c r="AA90" s="27">
        <f t="shared" si="10"/>
        <v>2.7999999999999998E-4</v>
      </c>
      <c r="AB90" s="19">
        <f>SUM(U90:Z90)</f>
        <v>1.1783999999999999E-2</v>
      </c>
    </row>
    <row r="91" spans="1:29" x14ac:dyDescent="0.25">
      <c r="A91" s="1"/>
      <c r="B91" s="111">
        <v>-1</v>
      </c>
      <c r="F91" s="84"/>
      <c r="G91" s="82"/>
      <c r="H91" s="82"/>
      <c r="I91" s="82"/>
      <c r="J91" s="85">
        <v>5000</v>
      </c>
      <c r="K91" s="85">
        <v>5000</v>
      </c>
      <c r="L91" s="82"/>
    </row>
    <row r="92" spans="1:29" x14ac:dyDescent="0.25">
      <c r="B92" s="111">
        <v>-1</v>
      </c>
      <c r="F92" s="12"/>
      <c r="J92" s="12" t="s">
        <v>1</v>
      </c>
      <c r="K92" s="256" t="s">
        <v>2</v>
      </c>
      <c r="L92" s="256"/>
      <c r="M92" s="12"/>
      <c r="N92" s="12"/>
      <c r="O92" s="12"/>
      <c r="P92" s="12"/>
      <c r="Q92" s="12"/>
      <c r="R92" s="12"/>
      <c r="S92" s="12">
        <v>21</v>
      </c>
      <c r="T92" s="12">
        <v>6</v>
      </c>
      <c r="U92" s="12">
        <v>3</v>
      </c>
      <c r="V92" s="12">
        <v>22</v>
      </c>
      <c r="W92" s="12">
        <v>13</v>
      </c>
      <c r="X92" s="12">
        <v>20</v>
      </c>
      <c r="Y92" s="12">
        <v>24</v>
      </c>
      <c r="Z92" s="12">
        <v>25</v>
      </c>
      <c r="AA92" s="12">
        <v>26</v>
      </c>
    </row>
    <row r="93" spans="1:29" x14ac:dyDescent="0.25">
      <c r="A93" s="13"/>
      <c r="B93" s="14">
        <v>-1</v>
      </c>
      <c r="C93" s="14"/>
      <c r="D93" s="15"/>
      <c r="F93" s="13" t="s">
        <v>4</v>
      </c>
      <c r="G93" s="13" t="s">
        <v>12</v>
      </c>
      <c r="H93" s="13" t="s">
        <v>13</v>
      </c>
      <c r="I93" s="12"/>
      <c r="J93" s="13" t="s">
        <v>5</v>
      </c>
      <c r="K93" s="13" t="s">
        <v>20</v>
      </c>
      <c r="L93" s="13" t="s">
        <v>21</v>
      </c>
      <c r="M93" s="13"/>
      <c r="N93" s="73" t="s">
        <v>176</v>
      </c>
      <c r="O93" s="13"/>
      <c r="P93" s="13"/>
      <c r="Q93" s="13"/>
      <c r="R93" s="13"/>
      <c r="S93" s="13" t="s">
        <v>70</v>
      </c>
      <c r="T93" s="13" t="s">
        <v>9</v>
      </c>
      <c r="U93" s="80" t="s">
        <v>161</v>
      </c>
      <c r="V93" s="13" t="s">
        <v>79</v>
      </c>
      <c r="W93" s="13" t="s">
        <v>10</v>
      </c>
      <c r="X93" s="13" t="s">
        <v>11</v>
      </c>
      <c r="Y93" s="80" t="s">
        <v>104</v>
      </c>
      <c r="Z93" s="80" t="s">
        <v>105</v>
      </c>
      <c r="AA93" s="80" t="s">
        <v>106</v>
      </c>
      <c r="AB93" s="77" t="s">
        <v>71</v>
      </c>
    </row>
    <row r="94" spans="1:29" x14ac:dyDescent="0.25">
      <c r="B94" s="111">
        <v>-1</v>
      </c>
      <c r="C94" s="35"/>
      <c r="F94" s="12"/>
      <c r="G94" s="12"/>
      <c r="H94" s="12"/>
      <c r="I94" s="12"/>
      <c r="J94" s="12"/>
      <c r="K94" s="12"/>
      <c r="L94" s="12"/>
      <c r="M94" s="12"/>
      <c r="N94" s="12"/>
      <c r="O94" s="12"/>
      <c r="P94" s="12"/>
      <c r="Q94" s="12"/>
      <c r="R94" s="12"/>
      <c r="S94" s="51">
        <v>0</v>
      </c>
      <c r="T94" s="12"/>
      <c r="U94" s="12"/>
      <c r="V94" s="12"/>
      <c r="W94" s="12"/>
      <c r="X94" s="12"/>
      <c r="Y94" s="12"/>
      <c r="Z94" s="12"/>
      <c r="AA94" s="12"/>
    </row>
    <row r="95" spans="1:29" ht="13" x14ac:dyDescent="0.3">
      <c r="B95" s="111">
        <f>IF(AND('AES Indiana Sep 23 Bill Calc.'!$D$17="SS",'AES Indiana Sep 23 Bill Calc.'!$D$18="No",'AES Indiana Sep 23 Bill Calc.'!$D$20="No"),'AES Indiana Sep 23 Bill Calc.'!$D$19,-1)</f>
        <v>-1</v>
      </c>
      <c r="C95" s="57" t="s">
        <v>172</v>
      </c>
      <c r="F95" s="37" t="s">
        <v>22</v>
      </c>
      <c r="G95" s="17">
        <f>SUM(J95:M95,O95:P95,R95:AA95)</f>
        <v>39.29</v>
      </c>
      <c r="H95" s="19" t="e">
        <f>IF(ISBLANK(B95),0,+#REF!/B95)</f>
        <v>#REF!</v>
      </c>
      <c r="I95" s="19"/>
      <c r="J95" s="16">
        <f>IF(ISBLANK(B95),0,IF(B95&gt;J$91,+J$90,+F$90))</f>
        <v>39.4</v>
      </c>
      <c r="K95" s="16">
        <f>IF($B95&gt;K$91,ROUND(K$91*K$90,2),ROUND($B95*K$90,2))</f>
        <v>-0.1</v>
      </c>
      <c r="L95" s="16">
        <f>IF($B95&gt;K$91,ROUND(($B95-K$91)*L$90,2),0)</f>
        <v>0</v>
      </c>
      <c r="M95" s="8"/>
      <c r="N95" s="17">
        <f>SUM(K95:L95)</f>
        <v>-0.1</v>
      </c>
      <c r="O95" s="8"/>
      <c r="P95" s="8"/>
      <c r="Q95" s="8"/>
      <c r="R95" s="8"/>
      <c r="S95" s="17">
        <f>ROUND($B95*S$90*S94,2)</f>
        <v>0</v>
      </c>
      <c r="T95" s="17">
        <f t="shared" ref="T95:AA95" si="11">ROUND($B95*T$90,2)</f>
        <v>0</v>
      </c>
      <c r="U95" s="141">
        <f t="shared" si="11"/>
        <v>0</v>
      </c>
      <c r="V95" s="17">
        <f>ROUND($B95*V$90,2)</f>
        <v>-0.01</v>
      </c>
      <c r="W95" s="17">
        <f t="shared" si="11"/>
        <v>0</v>
      </c>
      <c r="X95" s="17">
        <f t="shared" si="11"/>
        <v>0</v>
      </c>
      <c r="Y95" s="17">
        <f t="shared" si="11"/>
        <v>0</v>
      </c>
      <c r="Z95" s="17">
        <f t="shared" si="11"/>
        <v>0</v>
      </c>
      <c r="AA95" s="17">
        <f t="shared" si="11"/>
        <v>0</v>
      </c>
      <c r="AB95" s="19">
        <f>SUM(U90:AA90)</f>
        <v>1.2064E-2</v>
      </c>
      <c r="AC95" s="78" t="str">
        <f>+F95</f>
        <v>SS</v>
      </c>
    </row>
    <row r="96" spans="1:29" ht="13" x14ac:dyDescent="0.3">
      <c r="A96" s="82"/>
      <c r="B96" s="111">
        <v>-1</v>
      </c>
      <c r="C96" s="9"/>
      <c r="F96" s="37"/>
      <c r="G96" s="17"/>
      <c r="H96" s="19"/>
      <c r="I96" s="19"/>
      <c r="J96" s="16"/>
      <c r="K96" s="16"/>
      <c r="L96" s="16"/>
      <c r="M96" s="8"/>
      <c r="N96" s="8"/>
      <c r="O96" s="8"/>
      <c r="P96" s="8"/>
      <c r="Q96" s="8"/>
      <c r="R96" s="8"/>
      <c r="S96" s="51">
        <v>1</v>
      </c>
      <c r="T96" s="17"/>
      <c r="U96" s="17"/>
      <c r="V96" s="17"/>
      <c r="W96" s="17"/>
      <c r="X96" s="17"/>
      <c r="Y96" s="17"/>
      <c r="Z96" s="17"/>
      <c r="AA96" s="17"/>
    </row>
    <row r="97" spans="1:29" ht="13" x14ac:dyDescent="0.3">
      <c r="A97" s="109"/>
      <c r="B97" s="111">
        <f>IF(AND('AES Indiana Sep 23 Bill Calc.'!$D$17="SS",'AES Indiana Sep 23 Bill Calc.'!$D$18="Yes 100%",'AES Indiana Sep 23 Bill Calc.'!$D$20="No"),'AES Indiana Sep 23 Bill Calc.'!$D$19,-1)</f>
        <v>-1</v>
      </c>
      <c r="C97" s="57" t="s">
        <v>73</v>
      </c>
      <c r="F97" s="37" t="s">
        <v>22</v>
      </c>
      <c r="G97" s="17">
        <f>SUM(J97:M97,O97:P97,R97:AA97)</f>
        <v>39.29</v>
      </c>
      <c r="H97" s="19" t="e">
        <f>IF(ISBLANK(B97),0,+#REF!/B97)</f>
        <v>#REF!</v>
      </c>
      <c r="I97" s="106"/>
      <c r="J97" s="16">
        <f>IF(ISBLANK(B97),0,IF(B97&gt;J$91,+J$90,+F$90))</f>
        <v>39.4</v>
      </c>
      <c r="K97" s="16">
        <f>IF($B97&gt;K$91,ROUND(K$91*K$90,2),ROUND($B97*K$90,2))</f>
        <v>-0.1</v>
      </c>
      <c r="L97" s="16">
        <f>IF($B97&gt;K$91,ROUND(($B97-K$91)*L$90,2),0)</f>
        <v>0</v>
      </c>
      <c r="M97" s="8"/>
      <c r="N97" s="17">
        <f>SUM(K97:L97)</f>
        <v>-0.1</v>
      </c>
      <c r="O97" s="8"/>
      <c r="P97" s="8"/>
      <c r="Q97" s="8"/>
      <c r="R97" s="8"/>
      <c r="S97" s="17">
        <f>ROUND($B97*S$90*S96,2)</f>
        <v>0</v>
      </c>
      <c r="T97" s="17">
        <f t="shared" ref="T97:AA97" si="12">ROUND($B97*T$90,2)</f>
        <v>0</v>
      </c>
      <c r="U97" s="17">
        <f t="shared" si="12"/>
        <v>0</v>
      </c>
      <c r="V97" s="17">
        <f>ROUND($B97*V$90,2)</f>
        <v>-0.01</v>
      </c>
      <c r="W97" s="17">
        <f t="shared" si="12"/>
        <v>0</v>
      </c>
      <c r="X97" s="17">
        <f t="shared" si="12"/>
        <v>0</v>
      </c>
      <c r="Y97" s="17">
        <f t="shared" si="12"/>
        <v>0</v>
      </c>
      <c r="Z97" s="17">
        <f t="shared" si="12"/>
        <v>0</v>
      </c>
      <c r="AA97" s="17">
        <f t="shared" si="12"/>
        <v>0</v>
      </c>
      <c r="AB97" s="19">
        <f>SUM(U$90:AA$90)</f>
        <v>1.2064E-2</v>
      </c>
      <c r="AC97" s="78" t="str">
        <f>+F97</f>
        <v>SS</v>
      </c>
    </row>
    <row r="98" spans="1:29" ht="13" x14ac:dyDescent="0.3">
      <c r="A98" s="82"/>
      <c r="B98" s="111">
        <v>-1</v>
      </c>
      <c r="C98" s="9"/>
      <c r="F98" s="37"/>
      <c r="G98" s="17"/>
      <c r="H98" s="19"/>
      <c r="I98" s="19"/>
      <c r="J98" s="16"/>
      <c r="K98" s="16"/>
      <c r="L98" s="16"/>
      <c r="M98" s="8"/>
      <c r="N98" s="8"/>
      <c r="O98" s="8"/>
      <c r="P98" s="8"/>
      <c r="Q98" s="8"/>
      <c r="R98" s="8"/>
      <c r="S98" s="51">
        <v>0.5</v>
      </c>
      <c r="T98" s="17"/>
      <c r="U98" s="17"/>
      <c r="V98" s="17"/>
      <c r="W98" s="17"/>
      <c r="X98" s="17"/>
      <c r="Y98" s="17"/>
      <c r="Z98" s="17"/>
      <c r="AA98" s="17"/>
    </row>
    <row r="99" spans="1:29" ht="13" x14ac:dyDescent="0.3">
      <c r="A99" s="109"/>
      <c r="B99" s="111">
        <f>IF(AND('AES Indiana Sep 23 Bill Calc.'!$D$17="SS",'AES Indiana Sep 23 Bill Calc.'!$D$18="Yes 50%",'AES Indiana Sep 23 Bill Calc.'!$D$20="No"),'AES Indiana Sep 23 Bill Calc.'!$D$19,-1)</f>
        <v>-1</v>
      </c>
      <c r="C99" s="57" t="s">
        <v>171</v>
      </c>
      <c r="F99" s="37" t="s">
        <v>22</v>
      </c>
      <c r="G99" s="17">
        <f>SUM(J99:M99,O99:P99,R99:AA99)</f>
        <v>39.29</v>
      </c>
      <c r="H99" s="19" t="e">
        <f>IF(ISBLANK(B99),0,+#REF!/B99)</f>
        <v>#REF!</v>
      </c>
      <c r="I99" s="106"/>
      <c r="J99" s="16">
        <f>IF(ISBLANK(B99),0,IF(B99&gt;J$91,+J$90,+F$90))</f>
        <v>39.4</v>
      </c>
      <c r="K99" s="16">
        <f>IF($B99&gt;K$91,ROUND(K$91*K$90,2),ROUND($B99*K$90,2))</f>
        <v>-0.1</v>
      </c>
      <c r="L99" s="16">
        <f>IF($B99&gt;K$91,ROUND(($B99-K$91)*L$90,2),0)</f>
        <v>0</v>
      </c>
      <c r="M99" s="8"/>
      <c r="N99" s="17">
        <f>SUM(K99:L99)</f>
        <v>-0.1</v>
      </c>
      <c r="O99" s="8"/>
      <c r="P99" s="8"/>
      <c r="Q99" s="8"/>
      <c r="R99" s="8"/>
      <c r="S99" s="17">
        <f>ROUND($B99*S$90*S98,2)</f>
        <v>0</v>
      </c>
      <c r="T99" s="17">
        <f t="shared" ref="T99:AA99" si="13">ROUND($B99*T$90,2)</f>
        <v>0</v>
      </c>
      <c r="U99" s="17">
        <f t="shared" si="13"/>
        <v>0</v>
      </c>
      <c r="V99" s="17">
        <f>ROUND($B99*V$90,2)</f>
        <v>-0.01</v>
      </c>
      <c r="W99" s="17">
        <f t="shared" si="13"/>
        <v>0</v>
      </c>
      <c r="X99" s="17">
        <f t="shared" si="13"/>
        <v>0</v>
      </c>
      <c r="Y99" s="17">
        <f t="shared" si="13"/>
        <v>0</v>
      </c>
      <c r="Z99" s="17">
        <f t="shared" si="13"/>
        <v>0</v>
      </c>
      <c r="AA99" s="17">
        <f t="shared" si="13"/>
        <v>0</v>
      </c>
      <c r="AB99" s="19">
        <f>SUM(U$90:AA$90)</f>
        <v>1.2064E-2</v>
      </c>
      <c r="AC99" s="78" t="str">
        <f>+F99</f>
        <v>SS</v>
      </c>
    </row>
    <row r="100" spans="1:29" ht="13" x14ac:dyDescent="0.3">
      <c r="A100" s="82"/>
      <c r="B100" s="111">
        <v>-1</v>
      </c>
      <c r="C100" s="9"/>
      <c r="F100" s="37"/>
      <c r="G100" s="17"/>
      <c r="H100" s="19"/>
      <c r="I100" s="19"/>
      <c r="J100" s="16"/>
      <c r="K100" s="16"/>
      <c r="L100" s="16"/>
      <c r="M100" s="8"/>
      <c r="N100" s="8"/>
      <c r="O100" s="8"/>
      <c r="P100" s="8"/>
      <c r="Q100" s="8"/>
      <c r="R100" s="8"/>
      <c r="S100" s="51">
        <v>0.25</v>
      </c>
      <c r="T100" s="17"/>
      <c r="U100" s="17"/>
      <c r="V100" s="17"/>
      <c r="W100" s="17"/>
      <c r="X100" s="17"/>
      <c r="Y100" s="17"/>
      <c r="Z100" s="17"/>
      <c r="AA100" s="17"/>
    </row>
    <row r="101" spans="1:29" ht="13" x14ac:dyDescent="0.3">
      <c r="A101" s="109"/>
      <c r="B101" s="111">
        <f>IF(AND('AES Indiana Sep 23 Bill Calc.'!$D$17="SS",'AES Indiana Sep 23 Bill Calc.'!$D$18="Yes 25%",'AES Indiana Sep 23 Bill Calc.'!$D$20="No"),'AES Indiana Sep 23 Bill Calc.'!$D$19,-1)</f>
        <v>-1</v>
      </c>
      <c r="C101" s="57" t="s">
        <v>158</v>
      </c>
      <c r="F101" s="37" t="s">
        <v>22</v>
      </c>
      <c r="G101" s="17">
        <f>SUM(J101:M101,O101:P101,R101:AA101)</f>
        <v>39.29</v>
      </c>
      <c r="H101" s="19" t="e">
        <f>IF(ISBLANK(B101),0,+#REF!/B101)</f>
        <v>#REF!</v>
      </c>
      <c r="I101" s="106"/>
      <c r="J101" s="16">
        <f>IF(ISBLANK(B101),0,IF(B101&gt;J$91,+J$90,+F$90))</f>
        <v>39.4</v>
      </c>
      <c r="K101" s="16">
        <f>IF($B101&gt;K$91,ROUND(K$91*K$90,2),ROUND($B101*K$90,2))</f>
        <v>-0.1</v>
      </c>
      <c r="L101" s="16">
        <f>IF($B101&gt;K$91,ROUND(($B101-K$91)*L$90,2),0)</f>
        <v>0</v>
      </c>
      <c r="M101" s="8"/>
      <c r="N101" s="17">
        <f>SUM(K101:L101)</f>
        <v>-0.1</v>
      </c>
      <c r="O101" s="8"/>
      <c r="P101" s="8"/>
      <c r="Q101" s="8"/>
      <c r="R101" s="8"/>
      <c r="S101" s="17">
        <f>ROUND($B101*S$90*S100,2)</f>
        <v>0</v>
      </c>
      <c r="T101" s="17">
        <f t="shared" ref="T101:AA103" si="14">ROUND($B101*T$90,2)</f>
        <v>0</v>
      </c>
      <c r="U101" s="17">
        <f t="shared" si="14"/>
        <v>0</v>
      </c>
      <c r="V101" s="17">
        <f>ROUND($B101*V$90,2)</f>
        <v>-0.01</v>
      </c>
      <c r="W101" s="17">
        <f t="shared" si="14"/>
        <v>0</v>
      </c>
      <c r="X101" s="17">
        <f t="shared" si="14"/>
        <v>0</v>
      </c>
      <c r="Y101" s="17">
        <f t="shared" si="14"/>
        <v>0</v>
      </c>
      <c r="Z101" s="17">
        <f t="shared" si="14"/>
        <v>0</v>
      </c>
      <c r="AA101" s="17">
        <f t="shared" si="14"/>
        <v>0</v>
      </c>
      <c r="AB101" s="19">
        <f>SUM(U$90:AA$90)</f>
        <v>1.2064E-2</v>
      </c>
      <c r="AC101" s="78" t="str">
        <f>+F101</f>
        <v>SS</v>
      </c>
    </row>
    <row r="102" spans="1:29" ht="13" x14ac:dyDescent="0.3">
      <c r="A102" s="82"/>
      <c r="B102" s="111">
        <v>-1</v>
      </c>
      <c r="C102" s="9"/>
      <c r="F102" s="37"/>
      <c r="G102" s="17"/>
      <c r="H102" s="19"/>
      <c r="I102" s="19"/>
      <c r="J102" s="16"/>
      <c r="K102" s="16"/>
      <c r="L102" s="16"/>
      <c r="M102" s="8"/>
      <c r="N102" s="8"/>
      <c r="O102" s="8"/>
      <c r="P102" s="8"/>
      <c r="Q102" s="8"/>
      <c r="R102" s="8"/>
      <c r="S102" s="51">
        <v>0.1</v>
      </c>
      <c r="T102" s="17"/>
      <c r="U102" s="17"/>
      <c r="V102" s="17"/>
      <c r="W102" s="17"/>
      <c r="X102" s="17"/>
      <c r="Y102" s="17"/>
      <c r="Z102" s="17"/>
      <c r="AA102" s="17"/>
    </row>
    <row r="103" spans="1:29" ht="13" x14ac:dyDescent="0.3">
      <c r="A103" s="109"/>
      <c r="B103" s="111">
        <f>IF(AND('AES Indiana Sep 23 Bill Calc.'!$D$17="SS",'AES Indiana Sep 23 Bill Calc.'!$D$18="Yes 10%",'AES Indiana Sep 23 Bill Calc.'!$D$20="No"),'AES Indiana Sep 23 Bill Calc.'!$D$19,-1)</f>
        <v>-1</v>
      </c>
      <c r="C103" s="57" t="s">
        <v>173</v>
      </c>
      <c r="F103" s="37" t="s">
        <v>22</v>
      </c>
      <c r="G103" s="17">
        <f>SUM(J103:M103,O103:P103,R103:AA103)</f>
        <v>39.29</v>
      </c>
      <c r="H103" s="19" t="e">
        <f>IF(ISBLANK(B103),0,+#REF!/B103)</f>
        <v>#REF!</v>
      </c>
      <c r="I103" s="106"/>
      <c r="J103" s="16">
        <f>IF(ISBLANK(B103),0,IF(B103&gt;J$91,+J$90,+F$90))</f>
        <v>39.4</v>
      </c>
      <c r="K103" s="16">
        <f>IF($B103&gt;K$91,ROUND(K$91*K$90,2),ROUND($B103*K$90,2))</f>
        <v>-0.1</v>
      </c>
      <c r="L103" s="16">
        <f>IF($B103&gt;K$91,ROUND(($B103-K$91)*L$90,2),0)</f>
        <v>0</v>
      </c>
      <c r="M103" s="8"/>
      <c r="N103" s="17">
        <f>SUM(K103:L103)</f>
        <v>-0.1</v>
      </c>
      <c r="O103" s="8"/>
      <c r="P103" s="8"/>
      <c r="Q103" s="8"/>
      <c r="R103" s="8"/>
      <c r="S103" s="17">
        <f>ROUND($B103*S$90*S102,2)</f>
        <v>0</v>
      </c>
      <c r="T103" s="17">
        <f t="shared" si="14"/>
        <v>0</v>
      </c>
      <c r="U103" s="17">
        <f t="shared" si="14"/>
        <v>0</v>
      </c>
      <c r="V103" s="17">
        <f>ROUND($B103*V$90,2)</f>
        <v>-0.01</v>
      </c>
      <c r="W103" s="17">
        <f t="shared" si="14"/>
        <v>0</v>
      </c>
      <c r="X103" s="17">
        <f t="shared" si="14"/>
        <v>0</v>
      </c>
      <c r="Y103" s="17">
        <f t="shared" si="14"/>
        <v>0</v>
      </c>
      <c r="Z103" s="17">
        <f t="shared" si="14"/>
        <v>0</v>
      </c>
      <c r="AA103" s="17">
        <f t="shared" si="14"/>
        <v>0</v>
      </c>
      <c r="AB103" s="19">
        <f>SUM(U$90:AA$90)</f>
        <v>1.2064E-2</v>
      </c>
      <c r="AC103" s="78" t="str">
        <f>+F103</f>
        <v>SS</v>
      </c>
    </row>
    <row r="104" spans="1:29" ht="13" x14ac:dyDescent="0.3">
      <c r="B104" s="111">
        <v>-1</v>
      </c>
      <c r="C104" s="9"/>
      <c r="G104" s="17"/>
      <c r="H104" s="19"/>
      <c r="I104" s="19"/>
      <c r="J104" s="16"/>
      <c r="K104" s="16"/>
      <c r="L104" s="16"/>
      <c r="M104" s="8"/>
      <c r="N104" s="8"/>
      <c r="O104" s="8"/>
      <c r="P104" s="8"/>
      <c r="Q104" s="8"/>
      <c r="R104" s="8"/>
      <c r="S104" s="51">
        <v>1</v>
      </c>
      <c r="T104" s="17"/>
      <c r="U104" s="17"/>
      <c r="V104" s="8"/>
      <c r="W104" s="17"/>
      <c r="X104" s="17"/>
      <c r="Y104" s="17"/>
      <c r="Z104" s="17"/>
      <c r="AA104" s="17"/>
      <c r="AB104" s="19"/>
      <c r="AC104" s="78"/>
    </row>
    <row r="105" spans="1:29" ht="13" x14ac:dyDescent="0.3">
      <c r="A105" s="117"/>
      <c r="B105" s="111">
        <f>IF(AND('AES Indiana Sep 23 Bill Calc.'!$D$17="SS",'AES Indiana Sep 23 Bill Calc.'!$D$18="Yes 100%",'AES Indiana Sep 23 Bill Calc.'!$D$20="No"),'AES Indiana Sep 23 Bill Calc.'!$D$19,-1)</f>
        <v>-1</v>
      </c>
      <c r="C105" s="57" t="s">
        <v>73</v>
      </c>
      <c r="F105" s="37" t="s">
        <v>109</v>
      </c>
      <c r="G105" s="17">
        <f>SUM(J105:M105,O105:P105,R105:AA105)</f>
        <v>39.299999999999997</v>
      </c>
      <c r="H105" s="19" t="e">
        <f>IF(ISBLANK(B105),0,+#REF!/B105)</f>
        <v>#REF!</v>
      </c>
      <c r="I105" s="19"/>
      <c r="J105" s="101">
        <f>IF(ISBLANK(B105),0,IF(B105&gt;J$91,+J$90,+F$90))</f>
        <v>39.4</v>
      </c>
      <c r="K105" s="101">
        <f>IF($B105&gt;K$91,ROUND(K$91*K$90,2),ROUND($B105*K$90,2))</f>
        <v>-0.1</v>
      </c>
      <c r="L105" s="101">
        <f>IF($B105&gt;K$91,ROUND(($B105-K$91)*L$90,2),0)</f>
        <v>0</v>
      </c>
      <c r="M105" s="42"/>
      <c r="N105" s="17">
        <f>SUM(K105:L105)</f>
        <v>-0.1</v>
      </c>
      <c r="O105" s="42"/>
      <c r="P105" s="42"/>
      <c r="Q105" s="42"/>
      <c r="R105" s="42"/>
      <c r="S105" s="43">
        <f>ROUND($B105*S$90*S94,2)</f>
        <v>0</v>
      </c>
      <c r="T105" s="43">
        <f>ROUND($B105*T$90,2)</f>
        <v>0</v>
      </c>
      <c r="U105" s="43">
        <f>ROUND($B105*U$90,2)</f>
        <v>0</v>
      </c>
      <c r="V105" s="42">
        <f>ROUND($B105*V83,2)</f>
        <v>0</v>
      </c>
      <c r="W105" s="43">
        <f>ROUND($B105*W$90,2)</f>
        <v>0</v>
      </c>
      <c r="X105" s="43">
        <f>ROUND($B105*X$90,2)</f>
        <v>0</v>
      </c>
      <c r="Y105" s="43">
        <f>ROUND($B105*Y$90,2)</f>
        <v>0</v>
      </c>
      <c r="Z105" s="43">
        <f>ROUND($B105*Z$90,2)</f>
        <v>0</v>
      </c>
      <c r="AA105" s="43">
        <f>ROUND($B105*AA$90,2)</f>
        <v>0</v>
      </c>
      <c r="AB105" s="19">
        <f>SUM(U$90:AA$90)+(-V$90+V75)</f>
        <v>4.548E-3</v>
      </c>
      <c r="AC105" s="115" t="str">
        <f>+F105</f>
        <v>SS7</v>
      </c>
    </row>
    <row r="106" spans="1:29" ht="13" x14ac:dyDescent="0.3">
      <c r="B106" s="111">
        <v>-1</v>
      </c>
      <c r="C106" s="9"/>
      <c r="G106" s="17"/>
      <c r="H106" s="19"/>
      <c r="I106" s="19"/>
      <c r="J106" s="16"/>
      <c r="K106" s="16"/>
      <c r="L106" s="16"/>
      <c r="M106" s="8"/>
      <c r="N106" s="8"/>
      <c r="O106" s="8"/>
      <c r="P106" s="8"/>
      <c r="Q106" s="8"/>
      <c r="R106" s="8"/>
      <c r="S106" s="51">
        <v>0.5</v>
      </c>
      <c r="T106" s="17"/>
      <c r="U106" s="17"/>
      <c r="V106" s="8"/>
      <c r="W106" s="17"/>
      <c r="X106" s="17"/>
      <c r="Y106" s="17"/>
      <c r="Z106" s="17"/>
      <c r="AA106" s="17"/>
      <c r="AB106" s="19"/>
      <c r="AC106" s="78"/>
    </row>
    <row r="107" spans="1:29" ht="13" x14ac:dyDescent="0.3">
      <c r="A107" s="117"/>
      <c r="B107" s="111">
        <f>IF(AND('AES Indiana Sep 23 Bill Calc.'!$D$17="SS",'AES Indiana Sep 23 Bill Calc.'!$D$18="Yes 50%",'AES Indiana Sep 23 Bill Calc.'!$D$20="Yes Before 2018"),'AES Indiana Sep 23 Bill Calc.'!$D$19,-1)</f>
        <v>-1</v>
      </c>
      <c r="C107" s="57" t="s">
        <v>171</v>
      </c>
      <c r="F107" s="37" t="s">
        <v>109</v>
      </c>
      <c r="G107" s="17">
        <f>SUM(J107:M107,O107:P107,R107:AA107)</f>
        <v>39.299999999999997</v>
      </c>
      <c r="H107" s="19" t="e">
        <f>IF(ISBLANK(B107),0,+#REF!/B107)</f>
        <v>#REF!</v>
      </c>
      <c r="I107" s="19"/>
      <c r="J107" s="101">
        <f>IF(ISBLANK(B107),0,IF(B107&gt;J$91,+J$90,+F$90))</f>
        <v>39.4</v>
      </c>
      <c r="K107" s="101">
        <f>IF($B107&gt;K$91,ROUND(K$91*K$90,2),ROUND($B107*K$90,2))</f>
        <v>-0.1</v>
      </c>
      <c r="L107" s="101">
        <f>IF($B107&gt;K$91,ROUND(($B107-K$91)*L$90,2),0)</f>
        <v>0</v>
      </c>
      <c r="M107" s="42"/>
      <c r="N107" s="17">
        <f>SUM(K107:L107)</f>
        <v>-0.1</v>
      </c>
      <c r="O107" s="42"/>
      <c r="P107" s="42"/>
      <c r="Q107" s="42"/>
      <c r="R107" s="42"/>
      <c r="S107" s="43">
        <f>ROUND($B107*S$90*S106,2)</f>
        <v>0</v>
      </c>
      <c r="T107" s="43">
        <f>ROUND($B107*T$90,2)</f>
        <v>0</v>
      </c>
      <c r="U107" s="43">
        <f>ROUND($B107*U$90,2)</f>
        <v>0</v>
      </c>
      <c r="V107" s="42">
        <f>ROUND($B107*V83,2)</f>
        <v>0</v>
      </c>
      <c r="W107" s="43">
        <f>ROUND($B107*W$90,2)</f>
        <v>0</v>
      </c>
      <c r="X107" s="43">
        <f>ROUND($B107*X$90,2)</f>
        <v>0</v>
      </c>
      <c r="Y107" s="43">
        <f>ROUND($B107*Y$90,2)</f>
        <v>0</v>
      </c>
      <c r="Z107" s="43">
        <f>ROUND($B107*Z$90,2)</f>
        <v>0</v>
      </c>
      <c r="AA107" s="43">
        <f>ROUND($B107*AA$90,2)</f>
        <v>0</v>
      </c>
      <c r="AB107" s="19">
        <f>SUM(U$90:AA$90)+(-V$90+V77)</f>
        <v>4.548E-3</v>
      </c>
      <c r="AC107" s="115" t="str">
        <f>+F107</f>
        <v>SS7</v>
      </c>
    </row>
    <row r="108" spans="1:29" ht="13" x14ac:dyDescent="0.3">
      <c r="B108" s="111">
        <v>-1</v>
      </c>
      <c r="C108" s="9"/>
      <c r="G108" s="17"/>
      <c r="H108" s="19"/>
      <c r="I108" s="19"/>
      <c r="J108" s="16"/>
      <c r="K108" s="16"/>
      <c r="L108" s="16"/>
      <c r="M108" s="8"/>
      <c r="N108" s="8"/>
      <c r="O108" s="8"/>
      <c r="P108" s="8"/>
      <c r="Q108" s="8"/>
      <c r="R108" s="8"/>
      <c r="S108" s="51">
        <v>0.25</v>
      </c>
      <c r="T108" s="17"/>
      <c r="U108" s="17"/>
      <c r="V108" s="8"/>
      <c r="W108" s="17"/>
      <c r="X108" s="17"/>
      <c r="Y108" s="17"/>
      <c r="Z108" s="17"/>
      <c r="AA108" s="17"/>
      <c r="AB108" s="19"/>
      <c r="AC108" s="78"/>
    </row>
    <row r="109" spans="1:29" ht="13" x14ac:dyDescent="0.3">
      <c r="A109" s="117"/>
      <c r="B109" s="111">
        <f>IF(AND('AES Indiana Sep 23 Bill Calc.'!$D$17="SS",'AES Indiana Sep 23 Bill Calc.'!$D$18="Yes 25%",'AES Indiana Sep 23 Bill Calc.'!$D$20="Yes Before 2018"),'AES Indiana Sep 23 Bill Calc.'!$D$19,-1)</f>
        <v>-1</v>
      </c>
      <c r="C109" s="57" t="s">
        <v>158</v>
      </c>
      <c r="F109" s="37" t="s">
        <v>109</v>
      </c>
      <c r="G109" s="17">
        <f>SUM(J109:M109,O109:P109,R109:AA109)</f>
        <v>39.299999999999997</v>
      </c>
      <c r="H109" s="19" t="e">
        <f>IF(ISBLANK(B109),0,+#REF!/B109)</f>
        <v>#REF!</v>
      </c>
      <c r="I109" s="19"/>
      <c r="J109" s="101">
        <f>IF(ISBLANK(B109),0,IF(B109&gt;J$91,+J$90,+F$90))</f>
        <v>39.4</v>
      </c>
      <c r="K109" s="101">
        <f>IF($B109&gt;K$91,ROUND(K$91*K$90,2),ROUND($B109*K$90,2))</f>
        <v>-0.1</v>
      </c>
      <c r="L109" s="101">
        <f>IF($B109&gt;K$91,ROUND(($B109-K$91)*L$90,2),0)</f>
        <v>0</v>
      </c>
      <c r="M109" s="42"/>
      <c r="N109" s="17">
        <f>SUM(K109:L109)</f>
        <v>-0.1</v>
      </c>
      <c r="O109" s="42"/>
      <c r="P109" s="42"/>
      <c r="Q109" s="42"/>
      <c r="R109" s="42"/>
      <c r="S109" s="43">
        <f>ROUND($B109*S$90*S108,2)</f>
        <v>0</v>
      </c>
      <c r="T109" s="43">
        <f>ROUND($B109*T$90,2)</f>
        <v>0</v>
      </c>
      <c r="U109" s="43">
        <f>ROUND($B109*U$90,2)</f>
        <v>0</v>
      </c>
      <c r="V109" s="42">
        <f>ROUND($B109*V83,2)</f>
        <v>0</v>
      </c>
      <c r="W109" s="43">
        <f>ROUND($B109*W$90,2)</f>
        <v>0</v>
      </c>
      <c r="X109" s="43">
        <f>ROUND($B109*X$90,2)</f>
        <v>0</v>
      </c>
      <c r="Y109" s="43">
        <f>ROUND($B109*Y$90,2)</f>
        <v>0</v>
      </c>
      <c r="Z109" s="43">
        <f>ROUND($B109*Z$90,2)</f>
        <v>0</v>
      </c>
      <c r="AA109" s="43">
        <f>ROUND($B109*AA$90,2)</f>
        <v>0</v>
      </c>
      <c r="AB109" s="19">
        <f>SUM(U$90:AA$90)+(-V$90+V79)</f>
        <v>4.548E-3</v>
      </c>
      <c r="AC109" s="115" t="str">
        <f>+F109</f>
        <v>SS7</v>
      </c>
    </row>
    <row r="110" spans="1:29" ht="13" x14ac:dyDescent="0.3">
      <c r="B110" s="111">
        <v>-1</v>
      </c>
      <c r="C110" s="9"/>
      <c r="G110" s="17"/>
      <c r="H110" s="19"/>
      <c r="I110" s="19"/>
      <c r="J110" s="16"/>
      <c r="K110" s="16"/>
      <c r="L110" s="16"/>
      <c r="M110" s="8"/>
      <c r="N110" s="8"/>
      <c r="O110" s="8"/>
      <c r="P110" s="8"/>
      <c r="Q110" s="8"/>
      <c r="R110" s="8"/>
      <c r="S110" s="51">
        <v>0.1</v>
      </c>
      <c r="T110" s="17"/>
      <c r="U110" s="17"/>
      <c r="V110" s="8"/>
      <c r="W110" s="17"/>
      <c r="X110" s="17"/>
      <c r="Y110" s="17"/>
      <c r="Z110" s="17"/>
      <c r="AA110" s="17"/>
      <c r="AB110" s="19"/>
      <c r="AC110" s="78"/>
    </row>
    <row r="111" spans="1:29" ht="13" x14ac:dyDescent="0.3">
      <c r="A111" s="117"/>
      <c r="B111" s="111">
        <f>IF(AND('AES Indiana Sep 23 Bill Calc.'!$D$17="SS",'AES Indiana Sep 23 Bill Calc.'!$D$18="Yes 10%",'AES Indiana Sep 23 Bill Calc.'!$D$20="Yes Before 2018"),'AES Indiana Sep 23 Bill Calc.'!$D$19,-1)</f>
        <v>-1</v>
      </c>
      <c r="C111" s="57" t="s">
        <v>173</v>
      </c>
      <c r="F111" s="37" t="s">
        <v>109</v>
      </c>
      <c r="G111" s="17">
        <f>SUM(J111:M111,O111:P111,R111:AA111)</f>
        <v>39.299999999999997</v>
      </c>
      <c r="H111" s="19" t="e">
        <f>IF(ISBLANK(B111),0,+#REF!/B111)</f>
        <v>#REF!</v>
      </c>
      <c r="I111" s="19"/>
      <c r="J111" s="101">
        <f>IF(ISBLANK(B111),0,IF(B111&gt;J$91,+J$90,+F$90))</f>
        <v>39.4</v>
      </c>
      <c r="K111" s="101">
        <f>IF($B111&gt;K$91,ROUND(K$91*K$90,2),ROUND($B111*K$90,2))</f>
        <v>-0.1</v>
      </c>
      <c r="L111" s="101">
        <f>IF($B111&gt;K$91,ROUND(($B111-K$91)*L$90,2),0)</f>
        <v>0</v>
      </c>
      <c r="M111" s="42"/>
      <c r="N111" s="17">
        <f>SUM(K111:L111)</f>
        <v>-0.1</v>
      </c>
      <c r="O111" s="42"/>
      <c r="P111" s="42"/>
      <c r="Q111" s="42"/>
      <c r="R111" s="42"/>
      <c r="S111" s="43">
        <f>ROUND($B111*S$90*S110,2)</f>
        <v>0</v>
      </c>
      <c r="T111" s="43">
        <f>ROUND($B111*T$90,2)</f>
        <v>0</v>
      </c>
      <c r="U111" s="43">
        <f>ROUND($B111*U$90,2)</f>
        <v>0</v>
      </c>
      <c r="V111" s="42">
        <f>ROUND($B111*V83,2)</f>
        <v>0</v>
      </c>
      <c r="W111" s="43">
        <f>ROUND($B111*W$90,2)</f>
        <v>0</v>
      </c>
      <c r="X111" s="43">
        <f>ROUND($B111*X$90,2)</f>
        <v>0</v>
      </c>
      <c r="Y111" s="43">
        <f>ROUND($B111*Y$90,2)</f>
        <v>0</v>
      </c>
      <c r="Z111" s="43">
        <f>ROUND($B111*Z$90,2)</f>
        <v>0</v>
      </c>
      <c r="AA111" s="43">
        <f>ROUND($B111*AA$90,2)</f>
        <v>0</v>
      </c>
      <c r="AB111" s="19">
        <f>SUM(U$90:AA$90)+(-V$90+V81)</f>
        <v>4.548E-3</v>
      </c>
      <c r="AC111" s="115" t="str">
        <f>+F111</f>
        <v>SS7</v>
      </c>
    </row>
    <row r="112" spans="1:29" ht="13" x14ac:dyDescent="0.3">
      <c r="B112" s="111">
        <v>-1</v>
      </c>
      <c r="C112" s="9"/>
      <c r="G112" s="17"/>
      <c r="H112" s="19"/>
      <c r="I112" s="19"/>
      <c r="J112" s="16"/>
      <c r="K112" s="16"/>
      <c r="L112" s="16"/>
      <c r="M112" s="8"/>
      <c r="N112" s="8"/>
      <c r="O112" s="8"/>
      <c r="P112" s="8"/>
      <c r="Q112" s="8"/>
      <c r="R112" s="8"/>
      <c r="S112" s="51">
        <v>0</v>
      </c>
      <c r="T112" s="17"/>
      <c r="U112" s="17"/>
      <c r="V112" s="8"/>
      <c r="W112" s="17"/>
      <c r="X112" s="17"/>
      <c r="Y112" s="17"/>
      <c r="Z112" s="17"/>
      <c r="AA112" s="17"/>
      <c r="AB112" s="19"/>
      <c r="AC112" s="78"/>
    </row>
    <row r="113" spans="1:29" ht="13" x14ac:dyDescent="0.3">
      <c r="A113" s="117"/>
      <c r="B113" s="111">
        <f>IF(AND('AES Indiana Sep 23 Bill Calc.'!$D$17="SS",'AES Indiana Sep 23 Bill Calc.'!$D$18="No",'AES Indiana Sep 23 Bill Calc.'!$D$20="Yes Before 2018"),'AES Indiana Sep 23 Bill Calc.'!$D$19,-1)</f>
        <v>-1</v>
      </c>
      <c r="C113" s="57" t="s">
        <v>172</v>
      </c>
      <c r="F113" s="37" t="s">
        <v>109</v>
      </c>
      <c r="G113" s="17">
        <f>SUM(J113:M113,O113:P113,R113:AA113)</f>
        <v>39.299999999999997</v>
      </c>
      <c r="H113" s="19" t="e">
        <f>IF(ISBLANK(B113),0,+#REF!/B113)</f>
        <v>#REF!</v>
      </c>
      <c r="I113" s="19"/>
      <c r="J113" s="101">
        <f>IF(ISBLANK(B113),0,IF(B113&gt;J$91,+J$90,+F$90))</f>
        <v>39.4</v>
      </c>
      <c r="K113" s="101">
        <f>IF($B113&gt;K$91,ROUND(K$91*K$90,2),ROUND($B113*K$90,2))</f>
        <v>-0.1</v>
      </c>
      <c r="L113" s="101">
        <f>IF($B113&gt;K$91,ROUND(($B113-K$91)*L$90,2),0)</f>
        <v>0</v>
      </c>
      <c r="M113" s="42"/>
      <c r="N113" s="17">
        <f>SUM(K113:L113)</f>
        <v>-0.1</v>
      </c>
      <c r="O113" s="42"/>
      <c r="P113" s="42"/>
      <c r="Q113" s="42"/>
      <c r="R113" s="42"/>
      <c r="S113" s="43">
        <f>ROUND($B113*S$90*S112,2)</f>
        <v>0</v>
      </c>
      <c r="T113" s="43">
        <f>ROUND($B113*T$90,2)</f>
        <v>0</v>
      </c>
      <c r="U113" s="43">
        <f>ROUND($B113*U$90,2)</f>
        <v>0</v>
      </c>
      <c r="V113" s="42">
        <f>ROUND($B113*V83,2)</f>
        <v>0</v>
      </c>
      <c r="W113" s="43">
        <f>ROUND($B113*W$90,2)</f>
        <v>0</v>
      </c>
      <c r="X113" s="43">
        <f>ROUND($B113*X$90,2)</f>
        <v>0</v>
      </c>
      <c r="Y113" s="43">
        <f>ROUND($B113*Y$90,2)</f>
        <v>0</v>
      </c>
      <c r="Z113" s="43">
        <f>ROUND($B113*Z$90,2)</f>
        <v>0</v>
      </c>
      <c r="AA113" s="43">
        <f>ROUND($B113*AA$90,2)</f>
        <v>0</v>
      </c>
      <c r="AB113" s="19">
        <f>SUM(U$90:AA$90)+(-V$90+V82)</f>
        <v>4.548E-3</v>
      </c>
      <c r="AC113" s="115" t="str">
        <f>+F113</f>
        <v>SS7</v>
      </c>
    </row>
    <row r="114" spans="1:29" ht="13" x14ac:dyDescent="0.3">
      <c r="B114" s="111">
        <v>-1</v>
      </c>
      <c r="C114" s="9"/>
      <c r="G114" s="17"/>
      <c r="H114" s="19"/>
      <c r="I114" s="19"/>
      <c r="J114" s="16"/>
      <c r="K114" s="16"/>
      <c r="L114" s="16"/>
      <c r="M114" s="8"/>
      <c r="N114" s="8"/>
      <c r="O114" s="8"/>
      <c r="P114" s="8"/>
      <c r="Q114" s="8"/>
      <c r="R114" s="8"/>
      <c r="S114" s="51">
        <v>1</v>
      </c>
      <c r="T114" s="17"/>
      <c r="U114" s="17"/>
      <c r="V114" s="8"/>
      <c r="W114" s="17"/>
      <c r="X114" s="17"/>
      <c r="Y114" s="17"/>
      <c r="Z114" s="17"/>
      <c r="AA114" s="17"/>
      <c r="AB114" s="19"/>
      <c r="AC114" s="78"/>
    </row>
    <row r="115" spans="1:29" ht="13" x14ac:dyDescent="0.3">
      <c r="A115" s="117"/>
      <c r="B115" s="111">
        <f>IF(AND('AES Indiana Sep 23 Bill Calc.'!$D$17="SS",'AES Indiana Sep 23 Bill Calc.'!$D$18="Yes 100%",'AES Indiana Sep 23 Bill Calc.'!$D$20="Yes 2018"),'AES Indiana Sep 23 Bill Calc.'!$D$19,-1)</f>
        <v>-1</v>
      </c>
      <c r="C115" s="57" t="s">
        <v>73</v>
      </c>
      <c r="F115" s="37" t="s">
        <v>122</v>
      </c>
      <c r="G115" s="17">
        <f>SUM(J115:M115,O115:P115,R115:AA115)</f>
        <v>39.299999999999997</v>
      </c>
      <c r="H115" s="19" t="e">
        <f>IF(ISBLANK(B115),0,+#REF!/B115)</f>
        <v>#REF!</v>
      </c>
      <c r="I115" s="19"/>
      <c r="J115" s="101">
        <f>IF(ISBLANK(B115),0,IF(B115&gt;J$91,+J$90,+F$90))</f>
        <v>39.4</v>
      </c>
      <c r="K115" s="101">
        <f>IF($B115&gt;K$91,ROUND(K$91*K$90,2),ROUND($B115*K$90,2))</f>
        <v>-0.1</v>
      </c>
      <c r="L115" s="101">
        <f>IF($B115&gt;K$91,ROUND(($B115-K$91)*L$90,2),0)</f>
        <v>0</v>
      </c>
      <c r="M115" s="42"/>
      <c r="N115" s="17">
        <f>SUM(K115:L115)</f>
        <v>-0.1</v>
      </c>
      <c r="O115" s="42"/>
      <c r="P115" s="42"/>
      <c r="Q115" s="42"/>
      <c r="R115" s="42"/>
      <c r="S115" s="43">
        <f>ROUND($B115*S$90*S104,2)</f>
        <v>0</v>
      </c>
      <c r="T115" s="43">
        <f>ROUND($B115*T$90,2)</f>
        <v>0</v>
      </c>
      <c r="U115" s="43">
        <f>ROUND($B115*U$90,2)</f>
        <v>0</v>
      </c>
      <c r="V115" s="42">
        <f>ROUND($B115*V$84,2)</f>
        <v>0</v>
      </c>
      <c r="W115" s="43">
        <f>ROUND($B115*W$90,2)</f>
        <v>0</v>
      </c>
      <c r="X115" s="43">
        <f>ROUND($B115*X$90,2)</f>
        <v>0</v>
      </c>
      <c r="Y115" s="43">
        <f>ROUND($B115*Y$90,2)</f>
        <v>0</v>
      </c>
      <c r="Z115" s="43">
        <f>ROUND($B115*Z$90,2)</f>
        <v>0</v>
      </c>
      <c r="AA115" s="43">
        <f>ROUND($B115*AA$90,2)</f>
        <v>0</v>
      </c>
      <c r="AB115" s="19" t="e">
        <f>SUM(U$90:AA$90)+(-V$90+#REF!)</f>
        <v>#REF!</v>
      </c>
      <c r="AC115" s="115" t="str">
        <f>+F115</f>
        <v>SS8</v>
      </c>
    </row>
    <row r="116" spans="1:29" ht="13" x14ac:dyDescent="0.3">
      <c r="B116" s="111">
        <v>-1</v>
      </c>
      <c r="C116" s="9"/>
      <c r="G116" s="17"/>
      <c r="H116" s="19"/>
      <c r="I116" s="19"/>
      <c r="J116" s="16"/>
      <c r="K116" s="16"/>
      <c r="L116" s="16"/>
      <c r="M116" s="8"/>
      <c r="N116" s="8"/>
      <c r="O116" s="8"/>
      <c r="P116" s="8"/>
      <c r="Q116" s="8"/>
      <c r="R116" s="8"/>
      <c r="S116" s="51">
        <v>0.5</v>
      </c>
      <c r="T116" s="17"/>
      <c r="U116" s="17"/>
      <c r="V116" s="8"/>
      <c r="W116" s="17"/>
      <c r="X116" s="17"/>
      <c r="Y116" s="17"/>
      <c r="Z116" s="17"/>
      <c r="AA116" s="17"/>
      <c r="AB116" s="19"/>
      <c r="AC116" s="78"/>
    </row>
    <row r="117" spans="1:29" ht="13" x14ac:dyDescent="0.3">
      <c r="A117" s="117"/>
      <c r="B117" s="111">
        <f>IF(AND('AES Indiana Sep 23 Bill Calc.'!$D$17="SS",'AES Indiana Sep 23 Bill Calc.'!$D$18="Yes 50%",'AES Indiana Sep 23 Bill Calc.'!$D$20="Yes 2018"),'AES Indiana Sep 23 Bill Calc.'!$D$19,-1)</f>
        <v>-1</v>
      </c>
      <c r="C117" s="57" t="s">
        <v>171</v>
      </c>
      <c r="F117" s="37" t="s">
        <v>122</v>
      </c>
      <c r="G117" s="17">
        <f>SUM(J117:M117,O117:P117,R117:AA117)</f>
        <v>39.299999999999997</v>
      </c>
      <c r="H117" s="19" t="e">
        <f>IF(ISBLANK(B117),0,+#REF!/B117)</f>
        <v>#REF!</v>
      </c>
      <c r="I117" s="19"/>
      <c r="J117" s="101">
        <f>IF(ISBLANK(B117),0,IF(B117&gt;J$91,+J$90,+F$90))</f>
        <v>39.4</v>
      </c>
      <c r="K117" s="101">
        <f>IF($B117&gt;K$91,ROUND(K$91*K$90,2),ROUND($B117*K$90,2))</f>
        <v>-0.1</v>
      </c>
      <c r="L117" s="101">
        <f>IF($B117&gt;K$91,ROUND(($B117-K$91)*L$90,2),0)</f>
        <v>0</v>
      </c>
      <c r="M117" s="42"/>
      <c r="N117" s="17">
        <f>SUM(K117:L117)</f>
        <v>-0.1</v>
      </c>
      <c r="O117" s="42"/>
      <c r="P117" s="42"/>
      <c r="Q117" s="42"/>
      <c r="R117" s="42"/>
      <c r="S117" s="43">
        <f>ROUND($B117*S$90*S116,2)</f>
        <v>0</v>
      </c>
      <c r="T117" s="43">
        <f>ROUND($B117*T$90,2)</f>
        <v>0</v>
      </c>
      <c r="U117" s="43">
        <f>ROUND($B117*U$90,2)</f>
        <v>0</v>
      </c>
      <c r="V117" s="42">
        <f>ROUND($B117*V$84,2)</f>
        <v>0</v>
      </c>
      <c r="W117" s="43">
        <f>ROUND($B117*W$90,2)</f>
        <v>0</v>
      </c>
      <c r="X117" s="43">
        <f>ROUND($B117*X$90,2)</f>
        <v>0</v>
      </c>
      <c r="Y117" s="43">
        <f>ROUND($B117*Y$90,2)</f>
        <v>0</v>
      </c>
      <c r="Z117" s="43">
        <f>ROUND($B117*Z$90,2)</f>
        <v>0</v>
      </c>
      <c r="AA117" s="43">
        <f>ROUND($B117*AA$90,2)</f>
        <v>0</v>
      </c>
      <c r="AB117" s="19">
        <f>SUM(U$90:AA$90)+(-V$90+V85)</f>
        <v>4.8669999999999998E-3</v>
      </c>
      <c r="AC117" s="115" t="str">
        <f>+F117</f>
        <v>SS8</v>
      </c>
    </row>
    <row r="118" spans="1:29" ht="13" x14ac:dyDescent="0.3">
      <c r="B118" s="111">
        <v>-1</v>
      </c>
      <c r="C118" s="9"/>
      <c r="G118" s="17"/>
      <c r="H118" s="19"/>
      <c r="I118" s="19"/>
      <c r="J118" s="16"/>
      <c r="K118" s="16"/>
      <c r="L118" s="16"/>
      <c r="M118" s="8"/>
      <c r="N118" s="8"/>
      <c r="O118" s="8"/>
      <c r="P118" s="8"/>
      <c r="Q118" s="8"/>
      <c r="R118" s="8"/>
      <c r="S118" s="51">
        <v>0.25</v>
      </c>
      <c r="T118" s="17"/>
      <c r="U118" s="17"/>
      <c r="V118" s="8"/>
      <c r="W118" s="17"/>
      <c r="X118" s="17"/>
      <c r="Y118" s="17"/>
      <c r="Z118" s="17"/>
      <c r="AA118" s="17"/>
      <c r="AB118" s="19"/>
      <c r="AC118" s="78"/>
    </row>
    <row r="119" spans="1:29" ht="13" x14ac:dyDescent="0.3">
      <c r="A119" s="117"/>
      <c r="B119" s="111">
        <f>IF(AND('AES Indiana Sep 23 Bill Calc.'!$D$17="SS",'AES Indiana Sep 23 Bill Calc.'!$D$18="Yes 25%",'AES Indiana Sep 23 Bill Calc.'!$D$20="Yes 2018"),'AES Indiana Sep 23 Bill Calc.'!$D$19,-1)</f>
        <v>-1</v>
      </c>
      <c r="C119" s="57" t="s">
        <v>158</v>
      </c>
      <c r="F119" s="37" t="s">
        <v>122</v>
      </c>
      <c r="G119" s="17">
        <f>SUM(J119:M119,O119:P119,R119:AA119)</f>
        <v>39.299999999999997</v>
      </c>
      <c r="H119" s="19" t="e">
        <f>IF(ISBLANK(B119),0,+#REF!/B119)</f>
        <v>#REF!</v>
      </c>
      <c r="I119" s="19"/>
      <c r="J119" s="101">
        <f>IF(ISBLANK(B119),0,IF(B119&gt;J$91,+J$90,+F$90))</f>
        <v>39.4</v>
      </c>
      <c r="K119" s="101">
        <f>IF($B119&gt;K$91,ROUND(K$91*K$90,2),ROUND($B119*K$90,2))</f>
        <v>-0.1</v>
      </c>
      <c r="L119" s="101">
        <f>IF($B119&gt;K$91,ROUND(($B119-K$91)*L$90,2),0)</f>
        <v>0</v>
      </c>
      <c r="M119" s="42"/>
      <c r="N119" s="17">
        <f>SUM(K119:L119)</f>
        <v>-0.1</v>
      </c>
      <c r="O119" s="42"/>
      <c r="P119" s="42"/>
      <c r="Q119" s="42"/>
      <c r="R119" s="42"/>
      <c r="S119" s="43">
        <f>ROUND($B119*S$90*S118,2)</f>
        <v>0</v>
      </c>
      <c r="T119" s="43">
        <f>ROUND($B119*T$90,2)</f>
        <v>0</v>
      </c>
      <c r="U119" s="43">
        <f>ROUND($B119*U$90,2)</f>
        <v>0</v>
      </c>
      <c r="V119" s="42">
        <f>ROUND($B119*V$84,2)</f>
        <v>0</v>
      </c>
      <c r="W119" s="43">
        <f>ROUND($B119*W$90,2)</f>
        <v>0</v>
      </c>
      <c r="X119" s="43">
        <f>ROUND($B119*X$90,2)</f>
        <v>0</v>
      </c>
      <c r="Y119" s="43">
        <f>ROUND($B119*Y$90,2)</f>
        <v>0</v>
      </c>
      <c r="Z119" s="43">
        <f>ROUND($B119*Z$90,2)</f>
        <v>0</v>
      </c>
      <c r="AA119" s="43">
        <f>ROUND($B119*AA$90,2)</f>
        <v>0</v>
      </c>
      <c r="AB119" s="19">
        <f>SUM(U$90:AA$90)+(-V$90+V87)</f>
        <v>6.1519999999999995E-3</v>
      </c>
      <c r="AC119" s="115" t="str">
        <f>+F119</f>
        <v>SS8</v>
      </c>
    </row>
    <row r="120" spans="1:29" ht="13" x14ac:dyDescent="0.3">
      <c r="B120" s="111">
        <v>-1</v>
      </c>
      <c r="C120" s="9"/>
      <c r="G120" s="17"/>
      <c r="H120" s="19"/>
      <c r="I120" s="19"/>
      <c r="J120" s="16"/>
      <c r="K120" s="16"/>
      <c r="L120" s="16"/>
      <c r="M120" s="8"/>
      <c r="N120" s="8"/>
      <c r="O120" s="8"/>
      <c r="P120" s="8"/>
      <c r="Q120" s="8"/>
      <c r="R120" s="8"/>
      <c r="S120" s="51">
        <v>0.1</v>
      </c>
      <c r="T120" s="17"/>
      <c r="U120" s="17"/>
      <c r="V120" s="8"/>
      <c r="W120" s="17"/>
      <c r="X120" s="17"/>
      <c r="Y120" s="17"/>
      <c r="Z120" s="17"/>
      <c r="AA120" s="17"/>
      <c r="AB120" s="19"/>
      <c r="AC120" s="78"/>
    </row>
    <row r="121" spans="1:29" ht="13" x14ac:dyDescent="0.3">
      <c r="A121" s="117"/>
      <c r="B121" s="111">
        <f>IF(AND('AES Indiana Sep 23 Bill Calc.'!$D$17="SS",'AES Indiana Sep 23 Bill Calc.'!$D$18="Yes 10%",'AES Indiana Sep 23 Bill Calc.'!$D$20="Yes 2018"),'AES Indiana Sep 23 Bill Calc.'!$D$19,-1)</f>
        <v>-1</v>
      </c>
      <c r="C121" s="57" t="s">
        <v>173</v>
      </c>
      <c r="F121" s="37" t="s">
        <v>122</v>
      </c>
      <c r="G121" s="17">
        <f>SUM(J121:M121,O121:P121,R121:AA121)</f>
        <v>39.299999999999997</v>
      </c>
      <c r="H121" s="19" t="e">
        <f>IF(ISBLANK(B121),0,+#REF!/B121)</f>
        <v>#REF!</v>
      </c>
      <c r="I121" s="19"/>
      <c r="J121" s="101">
        <f>IF(ISBLANK(B121),0,IF(B121&gt;J$91,+J$90,+F$90))</f>
        <v>39.4</v>
      </c>
      <c r="K121" s="101">
        <f>IF($B121&gt;K$91,ROUND(K$91*K$90,2),ROUND($B121*K$90,2))</f>
        <v>-0.1</v>
      </c>
      <c r="L121" s="101">
        <f>IF($B121&gt;K$91,ROUND(($B121-K$91)*L$90,2),0)</f>
        <v>0</v>
      </c>
      <c r="M121" s="42"/>
      <c r="N121" s="17">
        <f>SUM(K121:L121)</f>
        <v>-0.1</v>
      </c>
      <c r="O121" s="42"/>
      <c r="P121" s="42"/>
      <c r="Q121" s="42"/>
      <c r="R121" s="42"/>
      <c r="S121" s="43">
        <f>ROUND($B121*S$90*S120,2)</f>
        <v>0</v>
      </c>
      <c r="T121" s="43">
        <f>ROUND($B121*T$90,2)</f>
        <v>0</v>
      </c>
      <c r="U121" s="43">
        <f>ROUND($B121*U$90,2)</f>
        <v>0</v>
      </c>
      <c r="V121" s="42">
        <f>ROUND($B121*V$84,2)</f>
        <v>0</v>
      </c>
      <c r="W121" s="43">
        <f>ROUND($B121*W$90,2)</f>
        <v>0</v>
      </c>
      <c r="X121" s="43">
        <f>ROUND($B121*X$90,2)</f>
        <v>0</v>
      </c>
      <c r="Y121" s="43">
        <f>ROUND($B121*Y$90,2)</f>
        <v>0</v>
      </c>
      <c r="Z121" s="43">
        <f>ROUND($B121*Z$90,2)</f>
        <v>0</v>
      </c>
      <c r="AA121" s="43">
        <f>ROUND($B121*AA$90,2)</f>
        <v>0</v>
      </c>
      <c r="AB121" s="19">
        <f>SUM(U$90:AA$90)+(-V$90+V88)</f>
        <v>4.548E-3</v>
      </c>
      <c r="AC121" s="115" t="str">
        <f>+F121</f>
        <v>SS8</v>
      </c>
    </row>
    <row r="122" spans="1:29" ht="13" x14ac:dyDescent="0.3">
      <c r="B122" s="111">
        <v>-1</v>
      </c>
      <c r="C122" s="9"/>
      <c r="G122" s="17"/>
      <c r="H122" s="19"/>
      <c r="I122" s="19"/>
      <c r="J122" s="16"/>
      <c r="K122" s="16"/>
      <c r="L122" s="16"/>
      <c r="M122" s="8"/>
      <c r="N122" s="8"/>
      <c r="O122" s="8"/>
      <c r="P122" s="8"/>
      <c r="Q122" s="8"/>
      <c r="R122" s="8"/>
      <c r="S122" s="51">
        <v>0</v>
      </c>
      <c r="T122" s="17"/>
      <c r="U122" s="17"/>
      <c r="V122" s="8"/>
      <c r="W122" s="17"/>
      <c r="X122" s="17"/>
      <c r="Y122" s="17"/>
      <c r="Z122" s="17"/>
      <c r="AA122" s="17"/>
      <c r="AB122" s="19"/>
      <c r="AC122" s="78"/>
    </row>
    <row r="123" spans="1:29" ht="13" x14ac:dyDescent="0.3">
      <c r="A123" s="117"/>
      <c r="B123" s="111">
        <f>IF(AND('AES Indiana Sep 23 Bill Calc.'!$D$17="SS",'AES Indiana Sep 23 Bill Calc.'!$D$18="No",'AES Indiana Sep 23 Bill Calc.'!$D$20="Yes 2018"),'AES Indiana Sep 23 Bill Calc.'!$D$19,-1)</f>
        <v>-1</v>
      </c>
      <c r="C123" s="57" t="s">
        <v>172</v>
      </c>
      <c r="F123" s="37" t="s">
        <v>122</v>
      </c>
      <c r="G123" s="17">
        <f>SUM(J123:M123,O123:P123,R123:AA123)</f>
        <v>39.299999999999997</v>
      </c>
      <c r="H123" s="19" t="e">
        <f>IF(ISBLANK(B123),0,+#REF!/B123)</f>
        <v>#REF!</v>
      </c>
      <c r="I123" s="19"/>
      <c r="J123" s="101">
        <f>IF(ISBLANK(B123),0,IF(B123&gt;J$91,+J$90,+F$90))</f>
        <v>39.4</v>
      </c>
      <c r="K123" s="101">
        <f>IF($B123&gt;K$91,ROUND(K$91*K$90,2),ROUND($B123*K$90,2))</f>
        <v>-0.1</v>
      </c>
      <c r="L123" s="101">
        <f>IF($B123&gt;K$91,ROUND(($B123-K$91)*L$90,2),0)</f>
        <v>0</v>
      </c>
      <c r="M123" s="42"/>
      <c r="N123" s="17">
        <f>SUM(K123:L123)</f>
        <v>-0.1</v>
      </c>
      <c r="O123" s="42"/>
      <c r="P123" s="42"/>
      <c r="Q123" s="42"/>
      <c r="R123" s="42"/>
      <c r="S123" s="43">
        <f>ROUND($B123*S$90*S122,2)</f>
        <v>0</v>
      </c>
      <c r="T123" s="43">
        <f>ROUND($B123*T$90,2)</f>
        <v>0</v>
      </c>
      <c r="U123" s="43">
        <f>ROUND($B123*U$90,2)</f>
        <v>0</v>
      </c>
      <c r="V123" s="42">
        <f>ROUND($B123*V$84,2)</f>
        <v>0</v>
      </c>
      <c r="W123" s="43">
        <f>ROUND($B123*W$90,2)</f>
        <v>0</v>
      </c>
      <c r="X123" s="43">
        <f>ROUND($B123*X$90,2)</f>
        <v>0</v>
      </c>
      <c r="Y123" s="43">
        <f>ROUND($B123*Y$90,2)</f>
        <v>0</v>
      </c>
      <c r="Z123" s="43">
        <f>ROUND($B123*Z$90,2)</f>
        <v>0</v>
      </c>
      <c r="AA123" s="43">
        <f>ROUND($B123*AA$90,2)</f>
        <v>0</v>
      </c>
      <c r="AB123" s="19" t="e">
        <f>SUM(U$90:AA$90)+(-V$90+V93)</f>
        <v>#VALUE!</v>
      </c>
      <c r="AC123" s="115" t="str">
        <f>+F123</f>
        <v>SS8</v>
      </c>
    </row>
    <row r="124" spans="1:29" ht="13" x14ac:dyDescent="0.3">
      <c r="B124" s="111">
        <v>-1</v>
      </c>
      <c r="C124" s="9"/>
      <c r="G124" s="17"/>
      <c r="H124" s="19"/>
      <c r="I124" s="19"/>
      <c r="J124" s="16"/>
      <c r="K124" s="16"/>
      <c r="L124" s="16"/>
      <c r="M124" s="8"/>
      <c r="N124" s="8"/>
      <c r="O124" s="8"/>
      <c r="P124" s="8"/>
      <c r="Q124" s="8"/>
      <c r="R124" s="8"/>
      <c r="S124" s="51">
        <v>1</v>
      </c>
      <c r="T124" s="17"/>
      <c r="U124" s="17"/>
      <c r="V124" s="8"/>
      <c r="W124" s="17"/>
      <c r="X124" s="17"/>
      <c r="Y124" s="17"/>
      <c r="Z124" s="17"/>
      <c r="AA124" s="17"/>
      <c r="AB124" s="19"/>
      <c r="AC124" s="78"/>
    </row>
    <row r="125" spans="1:29" ht="13" x14ac:dyDescent="0.3">
      <c r="A125" s="117"/>
      <c r="B125" s="111">
        <f>IF(AND('AES Indiana Sep 23 Bill Calc.'!$D$17="SS",'AES Indiana Sep 23 Bill Calc.'!$D$18="Yes 100%",'AES Indiana Sep 23 Bill Calc.'!$D$20="Yes 2019"),'AES Indiana Sep 23 Bill Calc.'!$D$19,-1)</f>
        <v>-1</v>
      </c>
      <c r="C125" s="57" t="s">
        <v>73</v>
      </c>
      <c r="F125" s="37" t="s">
        <v>139</v>
      </c>
      <c r="G125" s="17">
        <f>SUM(J125:M125,O125:P125,R125:AA125)</f>
        <v>39.299999999999997</v>
      </c>
      <c r="H125" s="19" t="e">
        <f>IF(ISBLANK(B125),0,+#REF!/B125)</f>
        <v>#REF!</v>
      </c>
      <c r="I125" s="19"/>
      <c r="J125" s="101">
        <f>IF(ISBLANK(B125),0,IF(B125&gt;J$91,+J$90,+F$90))</f>
        <v>39.4</v>
      </c>
      <c r="K125" s="101">
        <f>IF($B125&gt;K$91,ROUND(K$91*K$90,2),ROUND($B125*K$90,2))</f>
        <v>-0.1</v>
      </c>
      <c r="L125" s="101">
        <f>IF($B125&gt;K$91,ROUND(($B125-K$91)*L$90,2),0)</f>
        <v>0</v>
      </c>
      <c r="M125" s="42"/>
      <c r="N125" s="17">
        <f>SUM(K125:L125)</f>
        <v>-0.1</v>
      </c>
      <c r="O125" s="42"/>
      <c r="P125" s="42"/>
      <c r="Q125" s="42"/>
      <c r="R125" s="42"/>
      <c r="S125" s="43">
        <f>ROUND($B125*S$90*S124,2)</f>
        <v>0</v>
      </c>
      <c r="T125" s="43">
        <f>ROUND($B125*T$90,2)</f>
        <v>0</v>
      </c>
      <c r="U125" s="43">
        <f>ROUND($B125*U$90,2)</f>
        <v>0</v>
      </c>
      <c r="V125" s="42">
        <f>ROUND($B125*V$85,2)</f>
        <v>0</v>
      </c>
      <c r="W125" s="43">
        <f>ROUND($B125*W$90,2)</f>
        <v>0</v>
      </c>
      <c r="X125" s="43">
        <f>ROUND($B125*X$90,2)</f>
        <v>0</v>
      </c>
      <c r="Y125" s="43">
        <f>ROUND($B125*Y$90,2)</f>
        <v>0</v>
      </c>
      <c r="Z125" s="43">
        <f>ROUND($B125*Z$90,2)</f>
        <v>0</v>
      </c>
      <c r="AA125" s="43">
        <f>ROUND($B125*AA$90,2)</f>
        <v>0</v>
      </c>
      <c r="AB125" s="19">
        <f>SUM(U$90:AA$90)+(-V$90+V95)</f>
        <v>-5.4520000000000002E-3</v>
      </c>
      <c r="AC125" s="115" t="str">
        <f>+F125</f>
        <v>SS9</v>
      </c>
    </row>
    <row r="126" spans="1:29" ht="13" x14ac:dyDescent="0.3">
      <c r="B126" s="111">
        <v>-1</v>
      </c>
      <c r="C126" s="9"/>
      <c r="G126" s="17"/>
      <c r="H126" s="19"/>
      <c r="I126" s="19"/>
      <c r="J126" s="16"/>
      <c r="K126" s="16"/>
      <c r="L126" s="16"/>
      <c r="M126" s="8"/>
      <c r="N126" s="8"/>
      <c r="O126" s="8"/>
      <c r="P126" s="8"/>
      <c r="Q126" s="8"/>
      <c r="R126" s="8"/>
      <c r="S126" s="51">
        <v>0.5</v>
      </c>
      <c r="T126" s="17"/>
      <c r="U126" s="17"/>
      <c r="V126" s="8"/>
      <c r="W126" s="17"/>
      <c r="X126" s="17"/>
      <c r="Y126" s="17"/>
      <c r="Z126" s="17"/>
      <c r="AA126" s="17"/>
      <c r="AB126" s="19"/>
      <c r="AC126" s="78"/>
    </row>
    <row r="127" spans="1:29" ht="13" x14ac:dyDescent="0.3">
      <c r="A127" s="117"/>
      <c r="B127" s="111">
        <f>IF(AND('AES Indiana Sep 23 Bill Calc.'!$D$17="SS",'AES Indiana Sep 23 Bill Calc.'!$D$18="Yes 50%",'AES Indiana Sep 23 Bill Calc.'!$D$20="Yes 2019"),'AES Indiana Sep 23 Bill Calc.'!$D$19,-1)</f>
        <v>-1</v>
      </c>
      <c r="C127" s="57" t="s">
        <v>171</v>
      </c>
      <c r="F127" s="37" t="s">
        <v>139</v>
      </c>
      <c r="G127" s="17">
        <f>SUM(J127:M127,O127:P127,R127:AA127)</f>
        <v>39.299999999999997</v>
      </c>
      <c r="H127" s="19" t="e">
        <f>IF(ISBLANK(B127),0,+#REF!/B127)</f>
        <v>#REF!</v>
      </c>
      <c r="I127" s="19"/>
      <c r="J127" s="101">
        <f>IF(ISBLANK(B127),0,IF(B127&gt;J$91,+J$90,+F$90))</f>
        <v>39.4</v>
      </c>
      <c r="K127" s="101">
        <f>IF($B127&gt;K$91,ROUND(K$91*K$90,2),ROUND($B127*K$90,2))</f>
        <v>-0.1</v>
      </c>
      <c r="L127" s="101">
        <f>IF($B127&gt;K$91,ROUND(($B127-K$91)*L$90,2),0)</f>
        <v>0</v>
      </c>
      <c r="M127" s="42"/>
      <c r="N127" s="17">
        <f>SUM(K127:L127)</f>
        <v>-0.1</v>
      </c>
      <c r="O127" s="42"/>
      <c r="P127" s="42"/>
      <c r="Q127" s="42"/>
      <c r="R127" s="42"/>
      <c r="S127" s="43">
        <f>ROUND($B127*S$90*S126,2)</f>
        <v>0</v>
      </c>
      <c r="T127" s="43">
        <f>ROUND($B127*T$90,2)</f>
        <v>0</v>
      </c>
      <c r="U127" s="43">
        <f>ROUND($B127*U$90,2)</f>
        <v>0</v>
      </c>
      <c r="V127" s="42">
        <f>ROUND($B127*V$85,2)</f>
        <v>0</v>
      </c>
      <c r="W127" s="43">
        <f>ROUND($B127*W$90,2)</f>
        <v>0</v>
      </c>
      <c r="X127" s="43">
        <f>ROUND($B127*X$90,2)</f>
        <v>0</v>
      </c>
      <c r="Y127" s="43">
        <f>ROUND($B127*Y$90,2)</f>
        <v>0</v>
      </c>
      <c r="Z127" s="43">
        <f>ROUND($B127*Z$90,2)</f>
        <v>0</v>
      </c>
      <c r="AA127" s="43">
        <f>ROUND($B127*AA$90,2)</f>
        <v>0</v>
      </c>
      <c r="AB127" s="19">
        <f>SUM(U$90:AA$90)+(-V$90+V97)</f>
        <v>-5.4520000000000002E-3</v>
      </c>
      <c r="AC127" s="115" t="str">
        <f>+F127</f>
        <v>SS9</v>
      </c>
    </row>
    <row r="128" spans="1:29" ht="13" x14ac:dyDescent="0.3">
      <c r="B128" s="111">
        <v>-1</v>
      </c>
      <c r="C128" s="9"/>
      <c r="G128" s="17"/>
      <c r="H128" s="19"/>
      <c r="I128" s="19"/>
      <c r="J128" s="16"/>
      <c r="K128" s="16"/>
      <c r="L128" s="16"/>
      <c r="M128" s="8"/>
      <c r="N128" s="8"/>
      <c r="O128" s="8"/>
      <c r="P128" s="8"/>
      <c r="Q128" s="8"/>
      <c r="R128" s="8"/>
      <c r="S128" s="51">
        <v>0.25</v>
      </c>
      <c r="T128" s="17"/>
      <c r="U128" s="17"/>
      <c r="V128" s="8"/>
      <c r="W128" s="17"/>
      <c r="X128" s="17"/>
      <c r="Y128" s="17"/>
      <c r="Z128" s="17"/>
      <c r="AA128" s="17"/>
      <c r="AB128" s="19"/>
      <c r="AC128" s="78"/>
    </row>
    <row r="129" spans="1:29" ht="13" x14ac:dyDescent="0.3">
      <c r="A129" s="117"/>
      <c r="B129" s="111">
        <f>IF(AND('AES Indiana Sep 23 Bill Calc.'!$D$17="SS",'AES Indiana Sep 23 Bill Calc.'!$D$18="Yes 25%",'AES Indiana Sep 23 Bill Calc.'!$D$20="Yes 2019"),'AES Indiana Sep 23 Bill Calc.'!$D$19,-1)</f>
        <v>-1</v>
      </c>
      <c r="C129" s="57" t="s">
        <v>158</v>
      </c>
      <c r="F129" s="37" t="s">
        <v>139</v>
      </c>
      <c r="G129" s="17">
        <f>SUM(J129:M129,O129:P129,R129:AA129)</f>
        <v>39.299999999999997</v>
      </c>
      <c r="H129" s="19" t="e">
        <f>IF(ISBLANK(B129),0,+#REF!/B129)</f>
        <v>#REF!</v>
      </c>
      <c r="I129" s="19"/>
      <c r="J129" s="101">
        <f>IF(ISBLANK(B129),0,IF(B129&gt;J$91,+J$90,+F$90))</f>
        <v>39.4</v>
      </c>
      <c r="K129" s="101">
        <f>IF($B129&gt;K$91,ROUND(K$91*K$90,2),ROUND($B129*K$90,2))</f>
        <v>-0.1</v>
      </c>
      <c r="L129" s="101">
        <f>IF($B129&gt;K$91,ROUND(($B129-K$91)*L$90,2),0)</f>
        <v>0</v>
      </c>
      <c r="M129" s="42"/>
      <c r="N129" s="17">
        <f>SUM(K129:L129)</f>
        <v>-0.1</v>
      </c>
      <c r="O129" s="42"/>
      <c r="P129" s="42"/>
      <c r="Q129" s="42"/>
      <c r="R129" s="42"/>
      <c r="S129" s="43">
        <f>ROUND($B129*S$90*S128,2)</f>
        <v>0</v>
      </c>
      <c r="T129" s="43">
        <f>ROUND($B129*T$90,2)</f>
        <v>0</v>
      </c>
      <c r="U129" s="43">
        <f>ROUND($B129*U$90,2)</f>
        <v>0</v>
      </c>
      <c r="V129" s="42">
        <f>ROUND($B129*V$85,2)</f>
        <v>0</v>
      </c>
      <c r="W129" s="43">
        <f>ROUND($B129*W$90,2)</f>
        <v>0</v>
      </c>
      <c r="X129" s="43">
        <f>ROUND($B129*X$90,2)</f>
        <v>0</v>
      </c>
      <c r="Y129" s="43">
        <f>ROUND($B129*Y$90,2)</f>
        <v>0</v>
      </c>
      <c r="Z129" s="43">
        <f>ROUND($B129*Z$90,2)</f>
        <v>0</v>
      </c>
      <c r="AA129" s="43">
        <f>ROUND($B129*AA$90,2)</f>
        <v>0</v>
      </c>
      <c r="AB129" s="19">
        <f>SUM(U$90:AA$90)+(-V$90+V99)</f>
        <v>-5.4520000000000002E-3</v>
      </c>
      <c r="AC129" s="115" t="str">
        <f>+F129</f>
        <v>SS9</v>
      </c>
    </row>
    <row r="130" spans="1:29" ht="13" x14ac:dyDescent="0.3">
      <c r="B130" s="111">
        <v>-1</v>
      </c>
      <c r="C130" s="9"/>
      <c r="G130" s="17"/>
      <c r="H130" s="19"/>
      <c r="I130" s="19"/>
      <c r="J130" s="16"/>
      <c r="K130" s="16"/>
      <c r="L130" s="16"/>
      <c r="M130" s="8"/>
      <c r="N130" s="8"/>
      <c r="O130" s="8"/>
      <c r="P130" s="8"/>
      <c r="Q130" s="8"/>
      <c r="R130" s="8"/>
      <c r="S130" s="51">
        <v>0.1</v>
      </c>
      <c r="T130" s="17"/>
      <c r="U130" s="17"/>
      <c r="V130" s="8"/>
      <c r="W130" s="17"/>
      <c r="X130" s="17"/>
      <c r="Y130" s="17"/>
      <c r="Z130" s="17"/>
      <c r="AA130" s="17"/>
      <c r="AB130" s="19"/>
      <c r="AC130" s="78"/>
    </row>
    <row r="131" spans="1:29" ht="13" x14ac:dyDescent="0.3">
      <c r="A131" s="117"/>
      <c r="B131" s="111">
        <f>IF(AND('AES Indiana Sep 23 Bill Calc.'!$D$17="SS",'AES Indiana Sep 23 Bill Calc.'!$D$18="Yes 10%",'AES Indiana Sep 23 Bill Calc.'!$D$20="Yes 2019"),'AES Indiana Sep 23 Bill Calc.'!$D$19,-1)</f>
        <v>-1</v>
      </c>
      <c r="C131" s="57" t="s">
        <v>173</v>
      </c>
      <c r="F131" s="37" t="s">
        <v>139</v>
      </c>
      <c r="G131" s="17">
        <f>SUM(J131:M131,O131:P131,R131:AA131)</f>
        <v>39.299999999999997</v>
      </c>
      <c r="H131" s="19" t="e">
        <f>IF(ISBLANK(B131),0,+#REF!/B131)</f>
        <v>#REF!</v>
      </c>
      <c r="I131" s="19"/>
      <c r="J131" s="101">
        <f>IF(ISBLANK(B131),0,IF(B131&gt;J$91,+J$90,+F$90))</f>
        <v>39.4</v>
      </c>
      <c r="K131" s="101">
        <f>IF($B131&gt;K$91,ROUND(K$91*K$90,2),ROUND($B131*K$90,2))</f>
        <v>-0.1</v>
      </c>
      <c r="L131" s="101">
        <f>IF($B131&gt;K$91,ROUND(($B131-K$91)*L$90,2),0)</f>
        <v>0</v>
      </c>
      <c r="M131" s="42"/>
      <c r="N131" s="17">
        <f>SUM(K131:L131)</f>
        <v>-0.1</v>
      </c>
      <c r="O131" s="42"/>
      <c r="P131" s="42"/>
      <c r="Q131" s="42"/>
      <c r="R131" s="42"/>
      <c r="S131" s="43">
        <f>ROUND($B131*S$90*S130,2)</f>
        <v>0</v>
      </c>
      <c r="T131" s="43">
        <f>ROUND($B131*T$90,2)</f>
        <v>0</v>
      </c>
      <c r="U131" s="43">
        <f>ROUND($B131*U$90,2)</f>
        <v>0</v>
      </c>
      <c r="V131" s="42">
        <f>ROUND($B131*V$85,2)</f>
        <v>0</v>
      </c>
      <c r="W131" s="43">
        <f>ROUND($B131*W$90,2)</f>
        <v>0</v>
      </c>
      <c r="X131" s="43">
        <f>ROUND($B131*X$90,2)</f>
        <v>0</v>
      </c>
      <c r="Y131" s="43">
        <f>ROUND($B131*Y$90,2)</f>
        <v>0</v>
      </c>
      <c r="Z131" s="43">
        <f>ROUND($B131*Z$90,2)</f>
        <v>0</v>
      </c>
      <c r="AA131" s="43">
        <f>ROUND($B131*AA$90,2)</f>
        <v>0</v>
      </c>
      <c r="AB131" s="19">
        <f>SUM(U$90:AA$90)+(-V$90+V101)</f>
        <v>-5.4520000000000002E-3</v>
      </c>
      <c r="AC131" s="115" t="str">
        <f>+F131</f>
        <v>SS9</v>
      </c>
    </row>
    <row r="132" spans="1:29" ht="13" x14ac:dyDescent="0.3">
      <c r="B132" s="2">
        <v>-1</v>
      </c>
      <c r="G132" s="17"/>
      <c r="H132" s="19"/>
      <c r="I132" s="19"/>
      <c r="J132" s="16"/>
      <c r="K132" s="16"/>
      <c r="L132" s="16"/>
      <c r="M132" s="8"/>
      <c r="N132" s="8"/>
      <c r="O132" s="8"/>
      <c r="P132" s="8"/>
      <c r="Q132" s="8"/>
      <c r="R132" s="8"/>
      <c r="S132" s="51">
        <v>0</v>
      </c>
      <c r="T132" s="17"/>
      <c r="U132" s="17"/>
      <c r="V132" s="8"/>
      <c r="W132" s="17"/>
      <c r="X132" s="17"/>
      <c r="Y132" s="17"/>
      <c r="Z132" s="17"/>
      <c r="AA132" s="17"/>
      <c r="AB132" s="19"/>
      <c r="AC132" s="78"/>
    </row>
    <row r="133" spans="1:29" ht="13" x14ac:dyDescent="0.3">
      <c r="B133" s="111">
        <f>IF(AND('AES Indiana Sep 23 Bill Calc.'!$D$17="SS",'AES Indiana Sep 23 Bill Calc.'!$D$18="No",'AES Indiana Sep 23 Bill Calc.'!$D$20="Yes 2019"),'AES Indiana Sep 23 Bill Calc.'!$D$19,-1)</f>
        <v>-1</v>
      </c>
      <c r="C133" s="57" t="s">
        <v>172</v>
      </c>
      <c r="F133" s="37" t="s">
        <v>139</v>
      </c>
      <c r="G133" s="17">
        <f>SUM(J133:M133,O133:P133,R133:AA133)</f>
        <v>39.299999999999997</v>
      </c>
      <c r="H133" s="19" t="e">
        <f>IF(ISBLANK(B133),0,+#REF!/B133)</f>
        <v>#REF!</v>
      </c>
      <c r="I133" s="19"/>
      <c r="J133" s="101">
        <f>IF(ISBLANK(B133),0,IF(B133&gt;J$91,+J$90,+F$90))</f>
        <v>39.4</v>
      </c>
      <c r="K133" s="101">
        <f>IF($B133&gt;K$91,ROUND(K$91*K$90,2),ROUND($B133*K$90,2))</f>
        <v>-0.1</v>
      </c>
      <c r="L133" s="101">
        <f>IF($B133&gt;K$91,ROUND(($B133-K$91)*L$90,2),0)</f>
        <v>0</v>
      </c>
      <c r="M133" s="42"/>
      <c r="N133" s="17">
        <f>SUM(K133:L133)</f>
        <v>-0.1</v>
      </c>
      <c r="O133" s="42"/>
      <c r="P133" s="42"/>
      <c r="Q133" s="42"/>
      <c r="R133" s="42"/>
      <c r="S133" s="43">
        <f>ROUND($B133*S$90*S132,2)</f>
        <v>0</v>
      </c>
      <c r="T133" s="43">
        <f>ROUND($B133*T$90,2)</f>
        <v>0</v>
      </c>
      <c r="U133" s="43">
        <f>ROUND($B133*U$90,2)</f>
        <v>0</v>
      </c>
      <c r="V133" s="42">
        <f>ROUND($B133*V$85,2)</f>
        <v>0</v>
      </c>
      <c r="W133" s="43">
        <f>ROUND($B133*W$90,2)</f>
        <v>0</v>
      </c>
      <c r="X133" s="43">
        <f>ROUND($B133*X$90,2)</f>
        <v>0</v>
      </c>
      <c r="Y133" s="43">
        <f>ROUND($B133*Y$90,2)</f>
        <v>0</v>
      </c>
      <c r="Z133" s="43">
        <f>ROUND($B133*Z$90,2)</f>
        <v>0</v>
      </c>
      <c r="AA133" s="43">
        <f>ROUND($B133*AA$90,2)</f>
        <v>0</v>
      </c>
      <c r="AB133" s="19">
        <f>SUM(U$90:AA$90)+(-V$90+V95)</f>
        <v>-5.4520000000000002E-3</v>
      </c>
      <c r="AC133" s="115" t="str">
        <f>+F133</f>
        <v>SS9</v>
      </c>
    </row>
    <row r="134" spans="1:29" ht="13" x14ac:dyDescent="0.3">
      <c r="B134" s="111">
        <v>-1</v>
      </c>
      <c r="C134" s="9"/>
      <c r="F134" s="37"/>
      <c r="S134" s="51">
        <v>1</v>
      </c>
    </row>
    <row r="135" spans="1:29" ht="13" x14ac:dyDescent="0.3">
      <c r="B135" s="111">
        <f>IF(AND('AES Indiana Sep 23 Bill Calc.'!$D$17="SS",'AES Indiana Sep 23 Bill Calc.'!$D$18="Yes 100%",'AES Indiana Sep 23 Bill Calc.'!$D$20="Yes 2020"),'AES Indiana Sep 23 Bill Calc.'!$D$19,-1)</f>
        <v>-1</v>
      </c>
      <c r="C135" s="57" t="s">
        <v>73</v>
      </c>
      <c r="F135" s="37" t="s">
        <v>138</v>
      </c>
      <c r="G135" s="17">
        <f>SUM(J135:M135,O135:P135,R135:AA135)</f>
        <v>39.299999999999997</v>
      </c>
      <c r="H135" s="19" t="e">
        <f>IF(ISBLANK(B135),0,+#REF!/B135)</f>
        <v>#REF!</v>
      </c>
      <c r="I135" s="19"/>
      <c r="J135" s="101">
        <f>IF(ISBLANK(B135),0,IF(B135&gt;J$91,+J$90,+F$90))</f>
        <v>39.4</v>
      </c>
      <c r="K135" s="101">
        <f>IF($B135&gt;K$91,ROUND(K$91*K$90,2),ROUND($B135*K$90,2))</f>
        <v>-0.1</v>
      </c>
      <c r="L135" s="101">
        <f>IF($B135&gt;K$91,ROUND(($B135-K$91)*L$90,2),0)</f>
        <v>0</v>
      </c>
      <c r="M135" s="42"/>
      <c r="N135" s="17">
        <f>SUM(K135:L135)</f>
        <v>-0.1</v>
      </c>
      <c r="O135" s="42"/>
      <c r="P135" s="42"/>
      <c r="Q135" s="42"/>
      <c r="R135" s="42"/>
      <c r="S135" s="43">
        <f>ROUND($B135*S$90*S134,2)</f>
        <v>0</v>
      </c>
      <c r="T135" s="43">
        <f>ROUND($B135*T$90,2)</f>
        <v>0</v>
      </c>
      <c r="U135" s="43">
        <f>ROUND($B135*U$90,2)</f>
        <v>0</v>
      </c>
      <c r="V135" s="42">
        <f>ROUND($B135*V$86,2)</f>
        <v>0</v>
      </c>
      <c r="W135" s="43">
        <f>ROUND($B135*W$90,2)</f>
        <v>0</v>
      </c>
      <c r="X135" s="43">
        <f>ROUND($B135*X$90,2)</f>
        <v>0</v>
      </c>
      <c r="Y135" s="43">
        <f>ROUND($B135*Y$90,2)</f>
        <v>0</v>
      </c>
      <c r="Z135" s="43">
        <f>ROUND($B135*Z$90,2)</f>
        <v>0</v>
      </c>
      <c r="AA135" s="43">
        <f>ROUND($B135*AA$90,2)</f>
        <v>0</v>
      </c>
      <c r="AB135" s="19">
        <f>SUM(U$90:AA$90)+(-V$90+V95)</f>
        <v>-5.4520000000000002E-3</v>
      </c>
      <c r="AC135" s="115" t="str">
        <f>+F135</f>
        <v>SS0</v>
      </c>
    </row>
    <row r="136" spans="1:29" ht="13" x14ac:dyDescent="0.3">
      <c r="B136" s="111">
        <v>-1</v>
      </c>
      <c r="C136" s="9"/>
      <c r="F136" s="37"/>
      <c r="S136" s="51">
        <v>0.5</v>
      </c>
    </row>
    <row r="137" spans="1:29" ht="13" x14ac:dyDescent="0.3">
      <c r="B137" s="111">
        <f>IF(AND('AES Indiana Sep 23 Bill Calc.'!$D$17="SS",'AES Indiana Sep 23 Bill Calc.'!$D$18="Yes 50%",'AES Indiana Sep 23 Bill Calc.'!$D$20="Yes 2020"),'AES Indiana Sep 23 Bill Calc.'!$D$19,-1)</f>
        <v>-1</v>
      </c>
      <c r="C137" s="57" t="s">
        <v>171</v>
      </c>
      <c r="F137" s="37" t="s">
        <v>138</v>
      </c>
      <c r="G137" s="17">
        <f>SUM(J137:M137,O137:P137,R137:AA137)</f>
        <v>39.299999999999997</v>
      </c>
      <c r="H137" s="19" t="e">
        <f>IF(ISBLANK(B137),0,+#REF!/B137)</f>
        <v>#REF!</v>
      </c>
      <c r="I137" s="19"/>
      <c r="J137" s="101">
        <f>IF(ISBLANK(B137),0,IF(B137&gt;J$91,+J$90,+F$90))</f>
        <v>39.4</v>
      </c>
      <c r="K137" s="101">
        <f>IF($B137&gt;K$91,ROUND(K$91*K$90,2),ROUND($B137*K$90,2))</f>
        <v>-0.1</v>
      </c>
      <c r="L137" s="101">
        <f>IF($B137&gt;K$91,ROUND(($B137-K$91)*L$90,2),0)</f>
        <v>0</v>
      </c>
      <c r="M137" s="42"/>
      <c r="N137" s="17">
        <f>SUM(K137:L137)</f>
        <v>-0.1</v>
      </c>
      <c r="O137" s="42"/>
      <c r="P137" s="42"/>
      <c r="Q137" s="42"/>
      <c r="R137" s="42"/>
      <c r="S137" s="43">
        <f>ROUND($B137*S$90*S136,2)</f>
        <v>0</v>
      </c>
      <c r="T137" s="43">
        <f>ROUND($B137*T$90,2)</f>
        <v>0</v>
      </c>
      <c r="U137" s="43">
        <f>ROUND($B137*U$90,2)</f>
        <v>0</v>
      </c>
      <c r="V137" s="42">
        <f>ROUND($B137*V$86,2)</f>
        <v>0</v>
      </c>
      <c r="W137" s="43">
        <f>ROUND($B137*W$90,2)</f>
        <v>0</v>
      </c>
      <c r="X137" s="43">
        <f>ROUND($B137*X$90,2)</f>
        <v>0</v>
      </c>
      <c r="Y137" s="43">
        <f>ROUND($B137*Y$90,2)</f>
        <v>0</v>
      </c>
      <c r="Z137" s="43">
        <f>ROUND($B137*Z$90,2)</f>
        <v>0</v>
      </c>
      <c r="AA137" s="43">
        <f>ROUND($B137*AA$90,2)</f>
        <v>0</v>
      </c>
      <c r="AB137" s="19">
        <f>SUM(U$90:AA$90)+(-V$90+V97)</f>
        <v>-5.4520000000000002E-3</v>
      </c>
      <c r="AC137" s="115" t="str">
        <f>+F137</f>
        <v>SS0</v>
      </c>
    </row>
    <row r="138" spans="1:29" ht="13" x14ac:dyDescent="0.3">
      <c r="B138" s="111">
        <v>-1</v>
      </c>
      <c r="C138" s="9"/>
      <c r="F138" s="37"/>
      <c r="S138" s="51">
        <v>0.25</v>
      </c>
    </row>
    <row r="139" spans="1:29" ht="13" x14ac:dyDescent="0.3">
      <c r="B139" s="111">
        <f>IF(AND('AES Indiana Sep 23 Bill Calc.'!$D$17="SS",'AES Indiana Sep 23 Bill Calc.'!$D$18="Yes 25%",'AES Indiana Sep 23 Bill Calc.'!$D$20="Yes 2020"),'AES Indiana Sep 23 Bill Calc.'!$D$19,-1)</f>
        <v>-1</v>
      </c>
      <c r="C139" s="57" t="s">
        <v>158</v>
      </c>
      <c r="F139" s="37" t="s">
        <v>138</v>
      </c>
      <c r="G139" s="17">
        <f>SUM(J139:M139,O139:P139,R139:AA139)</f>
        <v>39.299999999999997</v>
      </c>
      <c r="H139" s="19" t="e">
        <f>IF(ISBLANK(B139),0,+#REF!/B139)</f>
        <v>#REF!</v>
      </c>
      <c r="I139" s="19"/>
      <c r="J139" s="101">
        <f>IF(ISBLANK(B139),0,IF(B139&gt;J$91,+J$90,+F$90))</f>
        <v>39.4</v>
      </c>
      <c r="K139" s="101">
        <f>IF($B139&gt;K$91,ROUND(K$91*K$90,2),ROUND($B139*K$90,2))</f>
        <v>-0.1</v>
      </c>
      <c r="L139" s="101">
        <f>IF($B139&gt;K$91,ROUND(($B139-K$91)*L$90,2),0)</f>
        <v>0</v>
      </c>
      <c r="M139" s="42"/>
      <c r="N139" s="17">
        <f>SUM(K139:L139)</f>
        <v>-0.1</v>
      </c>
      <c r="O139" s="42"/>
      <c r="P139" s="42"/>
      <c r="Q139" s="42"/>
      <c r="R139" s="42"/>
      <c r="S139" s="43">
        <f>ROUND($B139*S$90*S138,2)</f>
        <v>0</v>
      </c>
      <c r="T139" s="43">
        <f>ROUND($B139*T$90,2)</f>
        <v>0</v>
      </c>
      <c r="U139" s="43">
        <f>ROUND($B139*U$90,2)</f>
        <v>0</v>
      </c>
      <c r="V139" s="42">
        <f>ROUND($B139*V$86,2)</f>
        <v>0</v>
      </c>
      <c r="W139" s="43">
        <f>ROUND($B139*W$90,2)</f>
        <v>0</v>
      </c>
      <c r="X139" s="43">
        <f>ROUND($B139*X$90,2)</f>
        <v>0</v>
      </c>
      <c r="Y139" s="43">
        <f>ROUND($B139*Y$90,2)</f>
        <v>0</v>
      </c>
      <c r="Z139" s="43">
        <f>ROUND($B139*Z$90,2)</f>
        <v>0</v>
      </c>
      <c r="AA139" s="43">
        <f>ROUND($B139*AA$90,2)</f>
        <v>0</v>
      </c>
      <c r="AB139" s="19">
        <f>SUM(U$90:AA$90)+(-V$90+V99)</f>
        <v>-5.4520000000000002E-3</v>
      </c>
      <c r="AC139" s="115" t="str">
        <f>+F139</f>
        <v>SS0</v>
      </c>
    </row>
    <row r="140" spans="1:29" ht="13" x14ac:dyDescent="0.3">
      <c r="B140" s="111">
        <v>-1</v>
      </c>
      <c r="C140" s="9"/>
      <c r="F140" s="37"/>
      <c r="S140" s="51">
        <v>0.1</v>
      </c>
    </row>
    <row r="141" spans="1:29" ht="13" x14ac:dyDescent="0.3">
      <c r="B141" s="111">
        <f>IF(AND('AES Indiana Sep 23 Bill Calc.'!$D$17="SS",'AES Indiana Sep 23 Bill Calc.'!$D$18="Yes 10%",'AES Indiana Sep 23 Bill Calc.'!$D$20="Yes 2020"),'AES Indiana Sep 23 Bill Calc.'!$D$19,-1)</f>
        <v>-1</v>
      </c>
      <c r="C141" s="57" t="s">
        <v>173</v>
      </c>
      <c r="F141" s="37" t="s">
        <v>138</v>
      </c>
      <c r="G141" s="17">
        <f>SUM(J141:M141,O141:P141,R141:AA141)</f>
        <v>39.299999999999997</v>
      </c>
      <c r="H141" s="19" t="e">
        <f>IF(ISBLANK(B141),0,+#REF!/B141)</f>
        <v>#REF!</v>
      </c>
      <c r="I141" s="19"/>
      <c r="J141" s="101">
        <f>IF(ISBLANK(B141),0,IF(B141&gt;J$91,+J$90,+F$90))</f>
        <v>39.4</v>
      </c>
      <c r="K141" s="101">
        <f>IF($B141&gt;K$91,ROUND(K$91*K$90,2),ROUND($B141*K$90,2))</f>
        <v>-0.1</v>
      </c>
      <c r="L141" s="101">
        <f>IF($B141&gt;K$91,ROUND(($B141-K$91)*L$90,2),0)</f>
        <v>0</v>
      </c>
      <c r="M141" s="42"/>
      <c r="N141" s="17">
        <f>SUM(K141:L141)</f>
        <v>-0.1</v>
      </c>
      <c r="O141" s="42"/>
      <c r="P141" s="42"/>
      <c r="Q141" s="42"/>
      <c r="R141" s="42"/>
      <c r="S141" s="43">
        <f>ROUND($B141*S$90*S140,2)</f>
        <v>0</v>
      </c>
      <c r="T141" s="43">
        <f>ROUND($B141*T$90,2)</f>
        <v>0</v>
      </c>
      <c r="U141" s="43">
        <f>ROUND($B141*U$90,2)</f>
        <v>0</v>
      </c>
      <c r="V141" s="42">
        <f>ROUND($B141*V$86,2)</f>
        <v>0</v>
      </c>
      <c r="W141" s="43">
        <f>ROUND($B141*W$90,2)</f>
        <v>0</v>
      </c>
      <c r="X141" s="43">
        <f>ROUND($B141*X$90,2)</f>
        <v>0</v>
      </c>
      <c r="Y141" s="43">
        <f>ROUND($B141*Y$90,2)</f>
        <v>0</v>
      </c>
      <c r="Z141" s="43">
        <f>ROUND($B141*Z$90,2)</f>
        <v>0</v>
      </c>
      <c r="AA141" s="43">
        <f>ROUND($B141*AA$90,2)</f>
        <v>0</v>
      </c>
      <c r="AB141" s="19">
        <f>SUM(U$90:AA$90)+(-V$90+V101)</f>
        <v>-5.4520000000000002E-3</v>
      </c>
      <c r="AC141" s="115" t="str">
        <f>+F141</f>
        <v>SS0</v>
      </c>
    </row>
    <row r="142" spans="1:29" ht="13" x14ac:dyDescent="0.3">
      <c r="B142" s="111">
        <v>-1</v>
      </c>
      <c r="F142" s="37"/>
      <c r="S142" s="51">
        <v>0</v>
      </c>
    </row>
    <row r="143" spans="1:29" ht="13" x14ac:dyDescent="0.3">
      <c r="B143" s="111">
        <f>IF(AND('AES Indiana Sep 23 Bill Calc.'!$D$17="SS",'AES Indiana Sep 23 Bill Calc.'!$D$18="No",'AES Indiana Sep 23 Bill Calc.'!$D$20="Yes 2020"),'AES Indiana Sep 23 Bill Calc.'!$D$19,-1)</f>
        <v>-1</v>
      </c>
      <c r="C143" s="57" t="s">
        <v>172</v>
      </c>
      <c r="F143" s="37" t="s">
        <v>138</v>
      </c>
      <c r="G143" s="17">
        <f>SUM(J143:M143,O143:P143,R143:AA143)</f>
        <v>39.299999999999997</v>
      </c>
      <c r="H143" s="19" t="e">
        <f>IF(ISBLANK(B143),0,+#REF!/B143)</f>
        <v>#REF!</v>
      </c>
      <c r="I143" s="19"/>
      <c r="J143" s="101">
        <f>IF(ISBLANK(B143),0,IF(B143&gt;J$91,+J$90,+F$90))</f>
        <v>39.4</v>
      </c>
      <c r="K143" s="101">
        <f>IF($B143&gt;K$91,ROUND(K$91*K$90,2),ROUND($B143*K$90,2))</f>
        <v>-0.1</v>
      </c>
      <c r="L143" s="101">
        <f>IF($B143&gt;K$91,ROUND(($B143-K$91)*L$90,2),0)</f>
        <v>0</v>
      </c>
      <c r="M143" s="42"/>
      <c r="N143" s="17">
        <f>SUM(K143:L143)</f>
        <v>-0.1</v>
      </c>
      <c r="O143" s="42"/>
      <c r="P143" s="42"/>
      <c r="Q143" s="42"/>
      <c r="R143" s="42"/>
      <c r="S143" s="43">
        <f>ROUND($B143*S$90*S142,2)</f>
        <v>0</v>
      </c>
      <c r="T143" s="43">
        <f>ROUND($B143*T$90,2)</f>
        <v>0</v>
      </c>
      <c r="U143" s="43">
        <f>ROUND($B143*U$90,2)</f>
        <v>0</v>
      </c>
      <c r="V143" s="42">
        <f>ROUND($B143*V$86,2)</f>
        <v>0</v>
      </c>
      <c r="W143" s="43">
        <f>ROUND($B143*W$90,2)</f>
        <v>0</v>
      </c>
      <c r="X143" s="43">
        <f>ROUND($B143*X$90,2)</f>
        <v>0</v>
      </c>
      <c r="Y143" s="43">
        <f>ROUND($B143*Y$90,2)</f>
        <v>0</v>
      </c>
      <c r="Z143" s="43">
        <f>ROUND($B143*Z$90,2)</f>
        <v>0</v>
      </c>
      <c r="AA143" s="43">
        <f>ROUND($B143*AA$90,2)</f>
        <v>0</v>
      </c>
      <c r="AB143" s="19">
        <f>SUM(U$90:AA$90)+(-V$90+V103)</f>
        <v>-5.4520000000000002E-3</v>
      </c>
      <c r="AC143" s="115" t="str">
        <f>+F143</f>
        <v>SS0</v>
      </c>
    </row>
    <row r="144" spans="1:29" ht="13" x14ac:dyDescent="0.3">
      <c r="B144" s="128">
        <v>-1</v>
      </c>
      <c r="C144" s="96"/>
      <c r="F144" s="37"/>
      <c r="G144" s="43"/>
      <c r="H144" s="19"/>
      <c r="I144" s="19"/>
      <c r="J144" s="101"/>
      <c r="K144" s="101"/>
      <c r="L144" s="101"/>
      <c r="M144" s="42"/>
      <c r="N144" s="42"/>
      <c r="O144" s="42"/>
      <c r="P144" s="42"/>
      <c r="Q144" s="42"/>
      <c r="R144" s="42"/>
      <c r="S144" s="51">
        <v>1</v>
      </c>
      <c r="T144" s="43"/>
      <c r="U144" s="43"/>
      <c r="V144" s="42"/>
      <c r="W144" s="43"/>
      <c r="X144" s="43"/>
      <c r="Y144" s="43"/>
      <c r="Z144" s="43"/>
      <c r="AA144" s="43"/>
      <c r="AB144" s="19"/>
      <c r="AC144" s="115"/>
    </row>
    <row r="145" spans="2:123" ht="13" x14ac:dyDescent="0.3">
      <c r="B145" s="111">
        <f>IF(AND('AES Indiana Sep 23 Bill Calc.'!$D$17="SS",'AES Indiana Sep 23 Bill Calc.'!$D$18="Yes 100%",'AES Indiana Sep 23 Bill Calc.'!$D$20="Yes 2021"),'AES Indiana Sep 23 Bill Calc.'!$D$19,-1)</f>
        <v>-1</v>
      </c>
      <c r="C145" s="57" t="s">
        <v>73</v>
      </c>
      <c r="D145" s="118"/>
      <c r="F145" s="37" t="s">
        <v>165</v>
      </c>
      <c r="G145" s="43">
        <f>SUM(J145:M145,O145:P145,R145:AA145)</f>
        <v>39.299999999999997</v>
      </c>
      <c r="H145" s="19" t="e">
        <f>IF(ISBLANK(B145),0,+#REF!/B145)</f>
        <v>#REF!</v>
      </c>
      <c r="I145" s="118"/>
      <c r="J145" s="101">
        <f>IF(ISBLANK(B145),0,IF(B145&gt;J$91,+J$90,+F$90))</f>
        <v>39.4</v>
      </c>
      <c r="K145" s="101">
        <f>IF($B145&gt;K$91,ROUND(K$91*K$90,2),ROUND($B145*K$90,2))</f>
        <v>-0.1</v>
      </c>
      <c r="L145" s="101">
        <f>IF($B145&gt;K$91,ROUND(($B145-K$91)*L$90,2),0)</f>
        <v>0</v>
      </c>
      <c r="M145" s="118"/>
      <c r="N145" s="43">
        <f>SUM(K145:L145)</f>
        <v>-0.1</v>
      </c>
      <c r="O145" s="118"/>
      <c r="P145" s="118"/>
      <c r="Q145" s="118"/>
      <c r="S145" s="43">
        <f>ROUND($B145*S$90*S144,2)</f>
        <v>0</v>
      </c>
      <c r="T145" s="43">
        <f>ROUND($B145*T$90,2)</f>
        <v>0</v>
      </c>
      <c r="U145" s="43">
        <f>ROUND($B145*U$90,2)</f>
        <v>0</v>
      </c>
      <c r="V145" s="42">
        <f>ROUND($B145*V$87,2)</f>
        <v>0</v>
      </c>
      <c r="W145" s="118"/>
      <c r="X145" s="43">
        <f>ROUND($B145*X$90,2)</f>
        <v>0</v>
      </c>
      <c r="Y145" s="43">
        <f>ROUND($B145*Y$90,2)</f>
        <v>0</v>
      </c>
      <c r="Z145" s="43">
        <f>ROUND($B145*Z$90,2)</f>
        <v>0</v>
      </c>
      <c r="AA145" s="43">
        <f>ROUND($B145*AA$90,2)</f>
        <v>0</v>
      </c>
      <c r="AB145" s="19">
        <f>SUM(U$90:AA$90)+(-V$90+V107)</f>
        <v>4.548E-3</v>
      </c>
      <c r="AC145" s="118"/>
    </row>
    <row r="146" spans="2:123" ht="13" x14ac:dyDescent="0.3">
      <c r="B146" s="128">
        <v>-1</v>
      </c>
      <c r="C146" s="9"/>
      <c r="F146" s="37"/>
      <c r="G146" s="43"/>
      <c r="H146" s="19"/>
      <c r="I146" s="19"/>
      <c r="J146" s="101"/>
      <c r="K146" s="101"/>
      <c r="L146" s="101"/>
      <c r="M146" s="42"/>
      <c r="N146" s="42"/>
      <c r="O146" s="42"/>
      <c r="P146" s="42"/>
      <c r="Q146" s="42"/>
      <c r="R146" s="42"/>
      <c r="S146" s="51">
        <v>0.5</v>
      </c>
      <c r="T146" s="43"/>
      <c r="U146" s="43"/>
      <c r="V146" s="42"/>
      <c r="W146" s="43"/>
      <c r="X146" s="43"/>
      <c r="Y146" s="43"/>
      <c r="Z146" s="43"/>
      <c r="AA146" s="43"/>
      <c r="AB146" s="19"/>
      <c r="AC146" s="115"/>
    </row>
    <row r="147" spans="2:123" ht="13" x14ac:dyDescent="0.3">
      <c r="B147" s="111">
        <f>IF(AND('AES Indiana Sep 23 Bill Calc.'!$D$17="SS",'AES Indiana Sep 23 Bill Calc.'!$D$18="Yes 50%",'AES Indiana Sep 23 Bill Calc.'!$D$20="Yes 2021"),'AES Indiana Sep 23 Bill Calc.'!$D$19,-1)</f>
        <v>-1</v>
      </c>
      <c r="C147" s="57" t="s">
        <v>171</v>
      </c>
      <c r="D147" s="118"/>
      <c r="F147" s="37" t="s">
        <v>165</v>
      </c>
      <c r="G147" s="43">
        <f>SUM(J147:M147,O147:P147,R147:AA147)</f>
        <v>39.299999999999997</v>
      </c>
      <c r="H147" s="19" t="e">
        <f>IF(ISBLANK(B147),0,+#REF!/B147)</f>
        <v>#REF!</v>
      </c>
      <c r="I147" s="118"/>
      <c r="J147" s="101">
        <f>IF(ISBLANK(B147),0,IF(B147&gt;J$91,+J$90,+F$90))</f>
        <v>39.4</v>
      </c>
      <c r="K147" s="101">
        <f>IF($B147&gt;K$91,ROUND(K$91*K$90,2),ROUND($B147*K$90,2))</f>
        <v>-0.1</v>
      </c>
      <c r="L147" s="101">
        <f>IF($B147&gt;K$91,ROUND(($B147-K$91)*L$90,2),0)</f>
        <v>0</v>
      </c>
      <c r="M147" s="118"/>
      <c r="N147" s="43">
        <f>SUM(K147:L147)</f>
        <v>-0.1</v>
      </c>
      <c r="O147" s="118"/>
      <c r="P147" s="118"/>
      <c r="Q147" s="118"/>
      <c r="S147" s="43">
        <f>ROUND($B147*S$90*S146,2)</f>
        <v>0</v>
      </c>
      <c r="T147" s="43">
        <f>ROUND($B147*T$90,2)</f>
        <v>0</v>
      </c>
      <c r="U147" s="43">
        <f>ROUND($B147*U$90,2)</f>
        <v>0</v>
      </c>
      <c r="V147" s="42">
        <f>ROUND($B147*V$87,2)</f>
        <v>0</v>
      </c>
      <c r="W147" s="118"/>
      <c r="X147" s="43">
        <f>ROUND($B147*X$90,2)</f>
        <v>0</v>
      </c>
      <c r="Y147" s="43">
        <f>ROUND($B147*Y$90,2)</f>
        <v>0</v>
      </c>
      <c r="Z147" s="43">
        <f>ROUND($B147*Z$90,2)</f>
        <v>0</v>
      </c>
      <c r="AA147" s="43">
        <f>ROUND($B147*AA$90,2)</f>
        <v>0</v>
      </c>
      <c r="AB147" s="19">
        <f>SUM(U$90:AA$90)+(-V$90+V109)</f>
        <v>4.548E-3</v>
      </c>
      <c r="AC147" s="118"/>
    </row>
    <row r="148" spans="2:123" ht="13" x14ac:dyDescent="0.3">
      <c r="B148" s="128">
        <v>-1</v>
      </c>
      <c r="C148" s="9"/>
      <c r="F148" s="37"/>
      <c r="G148" s="43"/>
      <c r="H148" s="19"/>
      <c r="I148" s="19"/>
      <c r="J148" s="101"/>
      <c r="K148" s="101"/>
      <c r="L148" s="101"/>
      <c r="M148" s="42"/>
      <c r="N148" s="42"/>
      <c r="O148" s="42"/>
      <c r="P148" s="42"/>
      <c r="Q148" s="42"/>
      <c r="R148" s="42"/>
      <c r="S148" s="51">
        <v>0.25</v>
      </c>
      <c r="T148" s="43"/>
      <c r="U148" s="43"/>
      <c r="V148" s="42"/>
      <c r="W148" s="43"/>
      <c r="X148" s="43"/>
      <c r="Y148" s="43"/>
      <c r="Z148" s="43"/>
      <c r="AA148" s="43"/>
      <c r="AB148" s="19"/>
      <c r="AC148" s="115"/>
    </row>
    <row r="149" spans="2:123" ht="13" x14ac:dyDescent="0.3">
      <c r="B149" s="111">
        <f>IF(AND('AES Indiana Sep 23 Bill Calc.'!$D$17="SS",'AES Indiana Sep 23 Bill Calc.'!$D$18="Yes 25%",'AES Indiana Sep 23 Bill Calc.'!$D$20="Yes 2021"),'AES Indiana Sep 23 Bill Calc.'!$D$19,-1)</f>
        <v>-1</v>
      </c>
      <c r="C149" s="57" t="s">
        <v>158</v>
      </c>
      <c r="D149" s="118"/>
      <c r="F149" s="37" t="s">
        <v>165</v>
      </c>
      <c r="G149" s="43">
        <f>SUM(J149:M149,O149:P149,R149:AA149)</f>
        <v>39.299999999999997</v>
      </c>
      <c r="H149" s="19" t="e">
        <f>IF(ISBLANK(B149),0,+#REF!/B149)</f>
        <v>#REF!</v>
      </c>
      <c r="I149" s="118"/>
      <c r="J149" s="101">
        <f>IF(ISBLANK(B149),0,IF(B149&gt;J$91,+J$90,+F$90))</f>
        <v>39.4</v>
      </c>
      <c r="K149" s="101">
        <f>IF($B149&gt;K$91,ROUND(K$91*K$90,2),ROUND($B149*K$90,2))</f>
        <v>-0.1</v>
      </c>
      <c r="L149" s="101">
        <f>IF($B149&gt;K$91,ROUND(($B149-K$91)*L$90,2),0)</f>
        <v>0</v>
      </c>
      <c r="M149" s="118"/>
      <c r="N149" s="43">
        <f>SUM(K149:L149)</f>
        <v>-0.1</v>
      </c>
      <c r="O149" s="118"/>
      <c r="P149" s="118"/>
      <c r="Q149" s="118"/>
      <c r="S149" s="43">
        <f>ROUND($B149*S$90*S148,2)</f>
        <v>0</v>
      </c>
      <c r="T149" s="43">
        <f>ROUND($B149*T$90,2)</f>
        <v>0</v>
      </c>
      <c r="U149" s="43">
        <f>ROUND($B149*U$90,2)</f>
        <v>0</v>
      </c>
      <c r="V149" s="42">
        <f>ROUND($B149*V$87,2)</f>
        <v>0</v>
      </c>
      <c r="W149" s="118"/>
      <c r="X149" s="43">
        <f>ROUND($B149*X$90,2)</f>
        <v>0</v>
      </c>
      <c r="Y149" s="43">
        <f>ROUND($B149*Y$90,2)</f>
        <v>0</v>
      </c>
      <c r="Z149" s="43">
        <f>ROUND($B149*Z$90,2)</f>
        <v>0</v>
      </c>
      <c r="AA149" s="43">
        <f>ROUND($B149*AA$90,2)</f>
        <v>0</v>
      </c>
      <c r="AB149" s="19">
        <f>SUM(U$90:AA$90)+(-V$90+V111)</f>
        <v>4.548E-3</v>
      </c>
      <c r="AC149" s="118"/>
    </row>
    <row r="150" spans="2:123" ht="13" x14ac:dyDescent="0.3">
      <c r="B150" s="128">
        <v>-1</v>
      </c>
      <c r="C150" s="9"/>
      <c r="F150" s="37"/>
      <c r="G150" s="43"/>
      <c r="H150" s="19"/>
      <c r="I150" s="19"/>
      <c r="J150" s="101"/>
      <c r="K150" s="101"/>
      <c r="L150" s="101"/>
      <c r="M150" s="42"/>
      <c r="N150" s="42"/>
      <c r="O150" s="42"/>
      <c r="P150" s="42"/>
      <c r="Q150" s="42"/>
      <c r="R150" s="42"/>
      <c r="S150" s="51">
        <v>0.1</v>
      </c>
      <c r="T150" s="43"/>
      <c r="U150" s="43"/>
      <c r="V150" s="42"/>
      <c r="W150" s="43"/>
      <c r="X150" s="43"/>
      <c r="Y150" s="43"/>
      <c r="Z150" s="43"/>
      <c r="AA150" s="43"/>
      <c r="AB150" s="19"/>
      <c r="AC150" s="115"/>
    </row>
    <row r="151" spans="2:123" ht="13" x14ac:dyDescent="0.3">
      <c r="B151" s="111">
        <f>IF(AND('AES Indiana Sep 23 Bill Calc.'!$D$17="SS",'AES Indiana Sep 23 Bill Calc.'!$D$18="Yes 10%",'AES Indiana Sep 23 Bill Calc.'!$D$20="Yes 2021"),'AES Indiana Sep 23 Bill Calc.'!$D$19,-1)</f>
        <v>-1</v>
      </c>
      <c r="C151" s="57" t="s">
        <v>173</v>
      </c>
      <c r="D151" s="118"/>
      <c r="F151" s="37" t="s">
        <v>165</v>
      </c>
      <c r="G151" s="43">
        <f>SUM(J151:M151,O151:P151,R151:AA151)</f>
        <v>39.299999999999997</v>
      </c>
      <c r="H151" s="19" t="e">
        <f>IF(ISBLANK(B151),0,+#REF!/B151)</f>
        <v>#REF!</v>
      </c>
      <c r="I151" s="118"/>
      <c r="J151" s="101">
        <f>IF(ISBLANK(B151),0,IF(B151&gt;J$91,+J$90,+F$90))</f>
        <v>39.4</v>
      </c>
      <c r="K151" s="101">
        <f>IF($B151&gt;K$91,ROUND(K$91*K$90,2),ROUND($B151*K$90,2))</f>
        <v>-0.1</v>
      </c>
      <c r="L151" s="101">
        <f>IF($B151&gt;K$91,ROUND(($B151-K$91)*L$90,2),0)</f>
        <v>0</v>
      </c>
      <c r="M151" s="118"/>
      <c r="N151" s="43">
        <f>SUM(K151:L151)</f>
        <v>-0.1</v>
      </c>
      <c r="O151" s="118"/>
      <c r="P151" s="118"/>
      <c r="Q151" s="118"/>
      <c r="S151" s="43">
        <f>ROUND($B151*S$90*S150,2)</f>
        <v>0</v>
      </c>
      <c r="T151" s="43">
        <f>ROUND($B151*T$90,2)</f>
        <v>0</v>
      </c>
      <c r="U151" s="43">
        <f>ROUND($B151*U$90,2)</f>
        <v>0</v>
      </c>
      <c r="V151" s="42">
        <f>ROUND($B151*V$87,2)</f>
        <v>0</v>
      </c>
      <c r="W151" s="118"/>
      <c r="X151" s="43">
        <f>ROUND($B151*X$90,2)</f>
        <v>0</v>
      </c>
      <c r="Y151" s="43">
        <f>ROUND($B151*Y$90,2)</f>
        <v>0</v>
      </c>
      <c r="Z151" s="43">
        <f>ROUND($B151*Z$90,2)</f>
        <v>0</v>
      </c>
      <c r="AA151" s="43">
        <f>ROUND($B151*AA$90,2)</f>
        <v>0</v>
      </c>
      <c r="AB151" s="19">
        <f>SUM(U$90:AA$90)+(-V$90+V113)</f>
        <v>4.548E-3</v>
      </c>
      <c r="AC151" s="118"/>
    </row>
    <row r="152" spans="2:123" ht="13" x14ac:dyDescent="0.3">
      <c r="B152" s="128">
        <v>-1</v>
      </c>
      <c r="F152" s="37"/>
      <c r="G152" s="43"/>
      <c r="H152" s="19"/>
      <c r="I152" s="19"/>
      <c r="J152" s="101"/>
      <c r="K152" s="101"/>
      <c r="L152" s="101"/>
      <c r="M152" s="42"/>
      <c r="N152" s="42"/>
      <c r="O152" s="42"/>
      <c r="P152" s="42"/>
      <c r="Q152" s="42"/>
      <c r="R152" s="42"/>
      <c r="S152" s="51">
        <v>0</v>
      </c>
      <c r="T152" s="43"/>
      <c r="U152" s="43"/>
      <c r="V152" s="42"/>
      <c r="W152" s="43"/>
      <c r="X152" s="43"/>
      <c r="Y152" s="43"/>
      <c r="Z152" s="43"/>
      <c r="AA152" s="43"/>
      <c r="AB152" s="19"/>
      <c r="AC152" s="115"/>
    </row>
    <row r="153" spans="2:123" ht="13.5" thickBot="1" x14ac:dyDescent="0.35">
      <c r="B153" s="128">
        <f>IF(AND('AES Indiana Sep 23 Bill Calc.'!$D$17="SS",'AES Indiana Sep 23 Bill Calc.'!$D$18="No",'AES Indiana Sep 23 Bill Calc.'!$D$20="Yes 2021"),'AES Indiana Sep 23 Bill Calc.'!$D$19,-1)</f>
        <v>-1</v>
      </c>
      <c r="C153" s="170" t="s">
        <v>172</v>
      </c>
      <c r="D153" s="118"/>
      <c r="F153" s="37" t="s">
        <v>165</v>
      </c>
      <c r="G153" s="43">
        <f>SUM(J153:M153,O153:P153,R153:AA153)</f>
        <v>39.299999999999997</v>
      </c>
      <c r="H153" s="19" t="e">
        <f>IF(ISBLANK(B153),0,+#REF!/B153)</f>
        <v>#REF!</v>
      </c>
      <c r="I153" s="118"/>
      <c r="J153" s="101">
        <f>IF(ISBLANK(B153),0,IF(B153&gt;J$91,+J$90,+F$90))</f>
        <v>39.4</v>
      </c>
      <c r="K153" s="101">
        <f>IF($B153&gt;K$91,ROUND(K$91*K$90,2),ROUND($B153*K$90,2))</f>
        <v>-0.1</v>
      </c>
      <c r="L153" s="101">
        <f>IF($B153&gt;K$91,ROUND(($B153-K$91)*L$90,2),0)</f>
        <v>0</v>
      </c>
      <c r="M153" s="118"/>
      <c r="N153" s="43">
        <f>SUM(K153:L153)</f>
        <v>-0.1</v>
      </c>
      <c r="O153" s="118"/>
      <c r="P153" s="118"/>
      <c r="Q153" s="118"/>
      <c r="S153" s="43">
        <f>ROUND($B153*S$90*S152,2)</f>
        <v>0</v>
      </c>
      <c r="T153" s="43">
        <f>ROUND($B153*T$90,2)</f>
        <v>0</v>
      </c>
      <c r="U153" s="43">
        <f>ROUND($B153*U$90,2)</f>
        <v>0</v>
      </c>
      <c r="V153" s="42">
        <f>ROUND($B153*V$87,2)</f>
        <v>0</v>
      </c>
      <c r="W153" s="118"/>
      <c r="X153" s="43">
        <f>ROUND($B153*X$90,2)</f>
        <v>0</v>
      </c>
      <c r="Y153" s="43">
        <f>ROUND($B153*Y$90,2)</f>
        <v>0</v>
      </c>
      <c r="Z153" s="43">
        <f>ROUND($B153*Z$90,2)</f>
        <v>0</v>
      </c>
      <c r="AA153" s="43">
        <f>ROUND($B153*AA$90,2)</f>
        <v>0</v>
      </c>
      <c r="AB153" s="19">
        <f>SUM(U$90:AA$90)+(-V$90+V115)</f>
        <v>4.548E-3</v>
      </c>
      <c r="AC153" s="118"/>
      <c r="AE153" s="118"/>
      <c r="AG153" s="118"/>
      <c r="AI153" s="118"/>
      <c r="AK153" s="118"/>
      <c r="AM153" s="118"/>
      <c r="AO153" s="118"/>
      <c r="AQ153" s="118"/>
      <c r="AS153" s="118"/>
      <c r="AU153" s="118"/>
      <c r="AW153" s="118"/>
      <c r="AY153" s="118"/>
      <c r="BA153" s="118"/>
      <c r="BC153" s="118"/>
      <c r="BE153" s="118"/>
      <c r="BG153" s="118"/>
      <c r="BI153" s="124"/>
      <c r="BJ153" s="21"/>
      <c r="BK153" s="124"/>
      <c r="BL153" s="21"/>
      <c r="BM153" s="124"/>
      <c r="BN153" s="21"/>
      <c r="BO153" s="124"/>
      <c r="BP153" s="21"/>
      <c r="BQ153" s="124"/>
      <c r="BR153" s="21"/>
      <c r="BS153" s="124"/>
      <c r="BT153" s="21"/>
      <c r="BU153" s="124"/>
      <c r="BV153" s="21"/>
      <c r="BW153" s="124"/>
      <c r="BX153" s="21"/>
      <c r="BY153" s="124"/>
      <c r="BZ153" s="21"/>
      <c r="CA153" s="124"/>
      <c r="CB153" s="21"/>
      <c r="CC153" s="124"/>
      <c r="CD153" s="21"/>
      <c r="CE153" s="124"/>
      <c r="CF153" s="21"/>
      <c r="CG153" s="124"/>
      <c r="CH153" s="21"/>
      <c r="CI153" s="124"/>
      <c r="CJ153" s="21"/>
      <c r="CK153" s="124"/>
      <c r="CL153" s="21"/>
      <c r="CM153" s="124"/>
      <c r="CN153" s="21"/>
      <c r="CO153" s="124"/>
      <c r="CP153" s="21"/>
      <c r="CQ153" s="124"/>
      <c r="CR153" s="21"/>
      <c r="CS153" s="124"/>
      <c r="CT153" s="21"/>
      <c r="CU153" s="124"/>
      <c r="CV153" s="21"/>
      <c r="CW153" s="124"/>
      <c r="CX153" s="21"/>
      <c r="CY153" s="124"/>
      <c r="CZ153" s="21"/>
      <c r="DA153" s="124"/>
      <c r="DB153" s="21"/>
      <c r="DC153" s="124"/>
      <c r="DD153" s="21"/>
      <c r="DE153" s="124"/>
      <c r="DF153" s="21"/>
      <c r="DG153" s="124"/>
      <c r="DH153" s="21"/>
      <c r="DI153" s="124"/>
      <c r="DJ153" s="21"/>
      <c r="DK153" s="124"/>
      <c r="DL153" s="21"/>
      <c r="DM153" s="124"/>
      <c r="DN153" s="21"/>
      <c r="DO153" s="124"/>
      <c r="DP153" s="21"/>
      <c r="DQ153" s="124"/>
      <c r="DR153" s="21"/>
      <c r="DS153" s="124"/>
    </row>
    <row r="154" spans="2:123" ht="13" x14ac:dyDescent="0.3">
      <c r="B154" s="128">
        <v>-1</v>
      </c>
      <c r="C154" s="96"/>
      <c r="F154" s="37"/>
      <c r="G154" s="43"/>
      <c r="H154" s="19"/>
      <c r="I154" s="19"/>
      <c r="J154" s="101"/>
      <c r="K154" s="101"/>
      <c r="L154" s="101"/>
      <c r="M154" s="42"/>
      <c r="N154" s="42"/>
      <c r="O154" s="42"/>
      <c r="P154" s="42"/>
      <c r="Q154" s="42"/>
      <c r="R154" s="42"/>
      <c r="S154" s="51">
        <v>1</v>
      </c>
      <c r="T154" s="43"/>
      <c r="U154" s="43"/>
      <c r="V154" s="42"/>
      <c r="W154" s="43"/>
      <c r="X154" s="43"/>
      <c r="Y154" s="43"/>
      <c r="Z154" s="43"/>
      <c r="AA154" s="43"/>
      <c r="AB154" s="19"/>
      <c r="AC154" s="115"/>
      <c r="AE154" s="118"/>
      <c r="AG154" s="118"/>
      <c r="AI154" s="118"/>
      <c r="AK154" s="118"/>
      <c r="AM154" s="118"/>
      <c r="AO154" s="118"/>
      <c r="AQ154" s="118"/>
      <c r="AS154" s="118"/>
      <c r="AU154" s="118"/>
      <c r="AW154" s="118"/>
      <c r="AY154" s="118"/>
      <c r="BA154" s="118"/>
      <c r="BC154" s="118"/>
      <c r="BE154" s="118"/>
      <c r="BG154" s="118"/>
      <c r="BI154" s="118"/>
      <c r="BK154" s="118"/>
      <c r="BM154" s="118"/>
      <c r="BO154" s="118"/>
      <c r="BQ154" s="118"/>
      <c r="BS154" s="118"/>
      <c r="BU154" s="118"/>
      <c r="BW154" s="118"/>
      <c r="BY154" s="118"/>
      <c r="CA154" s="118"/>
      <c r="CC154" s="118"/>
      <c r="CE154" s="118"/>
      <c r="CG154" s="118"/>
      <c r="CI154" s="118"/>
      <c r="CK154" s="118"/>
      <c r="CM154" s="118"/>
      <c r="CO154" s="118"/>
      <c r="CQ154" s="118"/>
      <c r="CS154" s="118"/>
      <c r="CU154" s="118"/>
      <c r="CW154" s="118"/>
      <c r="CY154" s="118"/>
      <c r="DA154" s="118"/>
      <c r="DC154" s="118"/>
      <c r="DE154" s="118"/>
      <c r="DG154" s="118"/>
      <c r="DI154" s="118"/>
      <c r="DK154" s="118"/>
      <c r="DM154" s="118"/>
      <c r="DO154" s="118"/>
      <c r="DQ154" s="118"/>
      <c r="DS154" s="118"/>
    </row>
    <row r="155" spans="2:123" ht="13" x14ac:dyDescent="0.3">
      <c r="B155" s="128">
        <f>IF(AND('AES Indiana Sep 23 Bill Calc.'!$D$17="SS",'AES Indiana Sep 23 Bill Calc.'!$D$18="Yes 100%",'AES Indiana Sep 23 Bill Calc.'!$D$20="Yes 2022"),'AES Indiana Sep 23 Bill Calc.'!$D$19,-1)</f>
        <v>-1</v>
      </c>
      <c r="C155" s="170" t="s">
        <v>73</v>
      </c>
      <c r="D155" s="118"/>
      <c r="F155" s="37" t="s">
        <v>178</v>
      </c>
      <c r="G155" s="43">
        <f>SUM(J155:M155,O155:P155,R155:AA155)</f>
        <v>39.299999999999997</v>
      </c>
      <c r="H155" s="19" t="e">
        <f>IF(ISBLANK(B155),0,+#REF!/B155)</f>
        <v>#REF!</v>
      </c>
      <c r="I155" s="118"/>
      <c r="J155" s="101">
        <f>IF(ISBLANK(B155),0,IF(B155&gt;J$91,+J$90,+F$90))</f>
        <v>39.4</v>
      </c>
      <c r="K155" s="101">
        <f>IF($B155&gt;K$91,ROUND(K$91*K$90,2),ROUND($B155*K$90,2))</f>
        <v>-0.1</v>
      </c>
      <c r="L155" s="101">
        <f>IF($B155&gt;K$91,ROUND(($B155-K$91)*L$90,2),0)</f>
        <v>0</v>
      </c>
      <c r="M155" s="118"/>
      <c r="N155" s="43">
        <f>SUM(K155:L155)</f>
        <v>-0.1</v>
      </c>
      <c r="O155" s="118"/>
      <c r="P155" s="118"/>
      <c r="Q155" s="118"/>
      <c r="S155" s="43">
        <f>ROUND($B155*S$90*S154,2)</f>
        <v>0</v>
      </c>
      <c r="T155" s="43">
        <f>ROUND($B155*T$90,2)</f>
        <v>0</v>
      </c>
      <c r="U155" s="43">
        <f>ROUND($B155*U$90,2)</f>
        <v>0</v>
      </c>
      <c r="V155" s="42">
        <f>ROUND($B155*V$88,2)</f>
        <v>0</v>
      </c>
      <c r="W155" s="118"/>
      <c r="X155" s="43">
        <f>ROUND($B155*X$90,2)</f>
        <v>0</v>
      </c>
      <c r="Y155" s="43">
        <f>ROUND($B155*Y$90,2)</f>
        <v>0</v>
      </c>
      <c r="Z155" s="43">
        <f>ROUND($B155*Z$90,2)</f>
        <v>0</v>
      </c>
      <c r="AA155" s="43">
        <f>ROUND($B155*AA$90,2)</f>
        <v>0</v>
      </c>
      <c r="AB155" s="19">
        <f>SUM(U$90:AA$90)+(-V$90+V117)</f>
        <v>4.548E-3</v>
      </c>
      <c r="AC155" s="118"/>
      <c r="AE155" s="118"/>
      <c r="AG155" s="118"/>
      <c r="AI155" s="118"/>
      <c r="AK155" s="118"/>
      <c r="AM155" s="118"/>
      <c r="AO155" s="118"/>
      <c r="AQ155" s="118"/>
      <c r="AS155" s="118"/>
      <c r="AU155" s="118"/>
      <c r="AW155" s="118"/>
      <c r="AY155" s="118"/>
      <c r="BA155" s="118"/>
      <c r="BC155" s="118"/>
      <c r="BE155" s="118"/>
      <c r="BG155" s="118"/>
      <c r="BI155" s="118"/>
      <c r="BK155" s="118"/>
      <c r="BM155" s="118"/>
      <c r="BO155" s="118"/>
      <c r="BQ155" s="118"/>
      <c r="BS155" s="118"/>
      <c r="BU155" s="118"/>
      <c r="BW155" s="118"/>
      <c r="BY155" s="118"/>
      <c r="CA155" s="118"/>
      <c r="CC155" s="118"/>
      <c r="CE155" s="118"/>
      <c r="CG155" s="118"/>
      <c r="CI155" s="118"/>
      <c r="CK155" s="118"/>
      <c r="CM155" s="118"/>
      <c r="CO155" s="118"/>
      <c r="CQ155" s="118"/>
      <c r="CS155" s="118"/>
      <c r="CU155" s="118"/>
      <c r="CW155" s="118"/>
      <c r="CY155" s="118"/>
      <c r="DA155" s="118"/>
      <c r="DC155" s="118"/>
      <c r="DE155" s="118"/>
      <c r="DG155" s="118"/>
      <c r="DI155" s="118"/>
      <c r="DK155" s="118"/>
      <c r="DM155" s="118"/>
      <c r="DO155" s="118"/>
      <c r="DQ155" s="118"/>
      <c r="DS155" s="118"/>
    </row>
    <row r="156" spans="2:123" ht="13" x14ac:dyDescent="0.3">
      <c r="B156" s="128">
        <v>-1</v>
      </c>
      <c r="C156" s="96"/>
      <c r="F156" s="37"/>
      <c r="G156" s="43"/>
      <c r="H156" s="19"/>
      <c r="I156" s="19"/>
      <c r="J156" s="101"/>
      <c r="K156" s="101"/>
      <c r="L156" s="101"/>
      <c r="M156" s="42"/>
      <c r="N156" s="42"/>
      <c r="O156" s="42"/>
      <c r="P156" s="42"/>
      <c r="Q156" s="42"/>
      <c r="R156" s="42"/>
      <c r="S156" s="51">
        <v>0.5</v>
      </c>
      <c r="T156" s="43"/>
      <c r="U156" s="43"/>
      <c r="V156" s="42"/>
      <c r="W156" s="43"/>
      <c r="X156" s="43"/>
      <c r="Y156" s="43"/>
      <c r="Z156" s="43"/>
      <c r="AA156" s="43"/>
      <c r="AB156" s="19"/>
      <c r="AC156" s="115"/>
      <c r="AE156" s="118"/>
      <c r="AG156" s="118"/>
      <c r="AI156" s="118"/>
      <c r="AK156" s="118"/>
      <c r="AM156" s="118"/>
      <c r="AO156" s="118"/>
      <c r="AQ156" s="118"/>
      <c r="AS156" s="118"/>
      <c r="AU156" s="118"/>
      <c r="AW156" s="118"/>
      <c r="AY156" s="118"/>
      <c r="BA156" s="118"/>
      <c r="BC156" s="118"/>
      <c r="BE156" s="118"/>
      <c r="BG156" s="118"/>
      <c r="BI156" s="118"/>
      <c r="BK156" s="118"/>
      <c r="BM156" s="118"/>
      <c r="BO156" s="118"/>
      <c r="BQ156" s="118"/>
      <c r="BS156" s="118"/>
      <c r="BU156" s="118"/>
      <c r="BW156" s="118"/>
      <c r="BY156" s="118"/>
      <c r="CA156" s="118"/>
      <c r="CC156" s="118"/>
      <c r="CE156" s="118"/>
      <c r="CG156" s="118"/>
      <c r="CI156" s="118"/>
      <c r="CK156" s="118"/>
      <c r="CM156" s="118"/>
      <c r="CO156" s="118"/>
      <c r="CQ156" s="118"/>
      <c r="CS156" s="118"/>
      <c r="CU156" s="118"/>
      <c r="CW156" s="118"/>
      <c r="CY156" s="118"/>
      <c r="DA156" s="118"/>
      <c r="DC156" s="118"/>
      <c r="DE156" s="118"/>
      <c r="DG156" s="118"/>
      <c r="DI156" s="118"/>
      <c r="DK156" s="118"/>
      <c r="DM156" s="118"/>
      <c r="DO156" s="118"/>
      <c r="DQ156" s="118"/>
      <c r="DS156" s="118"/>
    </row>
    <row r="157" spans="2:123" ht="13" x14ac:dyDescent="0.3">
      <c r="B157" s="128">
        <f>IF(AND('AES Indiana Sep 23 Bill Calc.'!$D$17="SS",'AES Indiana Sep 23 Bill Calc.'!$D$18="Yes 50%",'AES Indiana Sep 23 Bill Calc.'!$D$20="Yes 2022"),'AES Indiana Sep 23 Bill Calc.'!$D$19,-1)</f>
        <v>-1</v>
      </c>
      <c r="C157" s="170" t="s">
        <v>171</v>
      </c>
      <c r="D157" s="118"/>
      <c r="F157" s="37" t="s">
        <v>178</v>
      </c>
      <c r="G157" s="43">
        <f>SUM(J157:M157,O157:P157,R157:AA157)</f>
        <v>39.299999999999997</v>
      </c>
      <c r="H157" s="19" t="e">
        <f>IF(ISBLANK(B157),0,+#REF!/B157)</f>
        <v>#REF!</v>
      </c>
      <c r="I157" s="118"/>
      <c r="J157" s="101">
        <f>IF(ISBLANK(B157),0,IF(B157&gt;J$91,+J$90,+F$90))</f>
        <v>39.4</v>
      </c>
      <c r="K157" s="101">
        <f>IF($B157&gt;K$91,ROUND(K$91*K$90,2),ROUND($B157*K$90,2))</f>
        <v>-0.1</v>
      </c>
      <c r="L157" s="101">
        <f>IF($B157&gt;K$91,ROUND(($B157-K$91)*L$90,2),0)</f>
        <v>0</v>
      </c>
      <c r="M157" s="118"/>
      <c r="N157" s="43">
        <f>SUM(K157:L157)</f>
        <v>-0.1</v>
      </c>
      <c r="O157" s="118"/>
      <c r="P157" s="118"/>
      <c r="Q157" s="118"/>
      <c r="S157" s="43">
        <f>ROUND($B157*S$90*S156,2)</f>
        <v>0</v>
      </c>
      <c r="T157" s="43">
        <f>ROUND($B157*T$90,2)</f>
        <v>0</v>
      </c>
      <c r="U157" s="43">
        <f>ROUND($B157*U$90,2)</f>
        <v>0</v>
      </c>
      <c r="V157" s="42">
        <f>ROUND($B157*V$88,2)</f>
        <v>0</v>
      </c>
      <c r="W157" s="118"/>
      <c r="X157" s="43">
        <f>ROUND($B157*X$90,2)</f>
        <v>0</v>
      </c>
      <c r="Y157" s="43">
        <f>ROUND($B157*Y$90,2)</f>
        <v>0</v>
      </c>
      <c r="Z157" s="43">
        <f>ROUND($B157*Z$90,2)</f>
        <v>0</v>
      </c>
      <c r="AA157" s="43">
        <f>ROUND($B157*AA$90,2)</f>
        <v>0</v>
      </c>
      <c r="AB157" s="19">
        <f>SUM(U$90:AA$90)+(-V$90+V119)</f>
        <v>4.548E-3</v>
      </c>
      <c r="AC157" s="118"/>
      <c r="AE157" s="118"/>
      <c r="AG157" s="118"/>
      <c r="AI157" s="118"/>
      <c r="AK157" s="118"/>
      <c r="AM157" s="118"/>
      <c r="AO157" s="118"/>
      <c r="AQ157" s="118"/>
      <c r="AS157" s="118"/>
      <c r="AU157" s="118"/>
      <c r="AW157" s="118"/>
      <c r="AY157" s="118"/>
      <c r="BA157" s="118"/>
      <c r="BC157" s="118"/>
      <c r="BE157" s="118"/>
      <c r="BG157" s="118"/>
      <c r="BI157" s="118"/>
      <c r="BK157" s="118"/>
      <c r="BM157" s="118"/>
      <c r="BO157" s="118"/>
      <c r="BQ157" s="118"/>
      <c r="BS157" s="118"/>
      <c r="BU157" s="118"/>
      <c r="BW157" s="118"/>
      <c r="BY157" s="118"/>
      <c r="CA157" s="118"/>
      <c r="CC157" s="118"/>
      <c r="CE157" s="118"/>
      <c r="CG157" s="118"/>
      <c r="CI157" s="118"/>
      <c r="CK157" s="118"/>
      <c r="CM157" s="118"/>
      <c r="CO157" s="118"/>
      <c r="CQ157" s="118"/>
      <c r="CS157" s="118"/>
      <c r="CU157" s="118"/>
      <c r="CW157" s="118"/>
      <c r="CY157" s="118"/>
      <c r="DA157" s="118"/>
      <c r="DC157" s="118"/>
      <c r="DE157" s="118"/>
      <c r="DG157" s="118"/>
      <c r="DI157" s="118"/>
      <c r="DK157" s="118"/>
      <c r="DM157" s="118"/>
      <c r="DO157" s="118"/>
      <c r="DQ157" s="118"/>
      <c r="DS157" s="118"/>
    </row>
    <row r="158" spans="2:123" ht="13" x14ac:dyDescent="0.3">
      <c r="B158" s="128">
        <v>-1</v>
      </c>
      <c r="C158" s="96"/>
      <c r="F158" s="37"/>
      <c r="G158" s="43"/>
      <c r="H158" s="19"/>
      <c r="I158" s="19"/>
      <c r="J158" s="101"/>
      <c r="K158" s="101"/>
      <c r="L158" s="101"/>
      <c r="M158" s="42"/>
      <c r="N158" s="42"/>
      <c r="O158" s="42"/>
      <c r="P158" s="42"/>
      <c r="Q158" s="42"/>
      <c r="R158" s="42"/>
      <c r="S158" s="51">
        <v>0.25</v>
      </c>
      <c r="T158" s="43"/>
      <c r="U158" s="43"/>
      <c r="V158" s="42"/>
      <c r="W158" s="43"/>
      <c r="X158" s="43"/>
      <c r="Y158" s="43"/>
      <c r="Z158" s="43"/>
      <c r="AA158" s="43"/>
      <c r="AB158" s="19"/>
      <c r="AC158" s="115"/>
      <c r="AE158" s="118"/>
      <c r="AG158" s="118"/>
      <c r="AI158" s="118"/>
      <c r="AK158" s="118"/>
      <c r="AM158" s="118"/>
      <c r="AO158" s="118"/>
      <c r="AQ158" s="118"/>
      <c r="AS158" s="118"/>
      <c r="AU158" s="118"/>
      <c r="AW158" s="118"/>
      <c r="AY158" s="118"/>
      <c r="BA158" s="118"/>
      <c r="BC158" s="118"/>
      <c r="BE158" s="118"/>
      <c r="BG158" s="118"/>
      <c r="BI158" s="118"/>
      <c r="BK158" s="118"/>
      <c r="BM158" s="118"/>
      <c r="BO158" s="118"/>
      <c r="BQ158" s="118"/>
      <c r="BS158" s="118"/>
      <c r="BU158" s="118"/>
      <c r="BW158" s="118"/>
      <c r="BY158" s="118"/>
      <c r="CA158" s="118"/>
      <c r="CC158" s="118"/>
      <c r="CE158" s="118"/>
      <c r="CG158" s="118"/>
      <c r="CI158" s="118"/>
      <c r="CK158" s="118"/>
      <c r="CM158" s="118"/>
      <c r="CO158" s="118"/>
      <c r="CQ158" s="118"/>
      <c r="CS158" s="118"/>
      <c r="CU158" s="118"/>
      <c r="CW158" s="118"/>
      <c r="CY158" s="118"/>
      <c r="DA158" s="118"/>
      <c r="DC158" s="118"/>
      <c r="DE158" s="118"/>
      <c r="DG158" s="118"/>
      <c r="DI158" s="118"/>
      <c r="DK158" s="118"/>
      <c r="DM158" s="118"/>
      <c r="DO158" s="118"/>
      <c r="DQ158" s="118"/>
      <c r="DS158" s="118"/>
    </row>
    <row r="159" spans="2:123" ht="13" x14ac:dyDescent="0.3">
      <c r="B159" s="128">
        <f>IF(AND('AES Indiana Sep 23 Bill Calc.'!$D$17="SS",'AES Indiana Sep 23 Bill Calc.'!$D$18="Yes 25%",'AES Indiana Sep 23 Bill Calc.'!$D$20="Yes 2022"),'AES Indiana Sep 23 Bill Calc.'!$D$19,-1)</f>
        <v>-1</v>
      </c>
      <c r="C159" s="170" t="s">
        <v>158</v>
      </c>
      <c r="D159" s="118"/>
      <c r="F159" s="37" t="s">
        <v>178</v>
      </c>
      <c r="G159" s="43">
        <f>SUM(J159:M159,O159:P159,R159:AA159)</f>
        <v>39.299999999999997</v>
      </c>
      <c r="H159" s="19" t="e">
        <f>IF(ISBLANK(B159),0,+#REF!/B159)</f>
        <v>#REF!</v>
      </c>
      <c r="I159" s="118"/>
      <c r="J159" s="101">
        <f>IF(ISBLANK(B159),0,IF(B159&gt;J$91,+J$90,+F$90))</f>
        <v>39.4</v>
      </c>
      <c r="K159" s="101">
        <f>IF($B159&gt;K$91,ROUND(K$91*K$90,2),ROUND($B159*K$90,2))</f>
        <v>-0.1</v>
      </c>
      <c r="L159" s="101">
        <f>IF($B159&gt;K$91,ROUND(($B159-K$91)*L$90,2),0)</f>
        <v>0</v>
      </c>
      <c r="M159" s="118"/>
      <c r="N159" s="43">
        <f>SUM(K159:L159)</f>
        <v>-0.1</v>
      </c>
      <c r="O159" s="118"/>
      <c r="P159" s="118"/>
      <c r="Q159" s="118"/>
      <c r="S159" s="43">
        <f>ROUND($B159*S$90*S158,2)</f>
        <v>0</v>
      </c>
      <c r="T159" s="43">
        <f>ROUND($B159*T$90,2)</f>
        <v>0</v>
      </c>
      <c r="U159" s="43">
        <f>ROUND($B159*U$90,2)</f>
        <v>0</v>
      </c>
      <c r="V159" s="42">
        <f>ROUND($B159*V$88,2)</f>
        <v>0</v>
      </c>
      <c r="W159" s="118"/>
      <c r="X159" s="43">
        <f>ROUND($B159*X$90,2)</f>
        <v>0</v>
      </c>
      <c r="Y159" s="43">
        <f>ROUND($B159*Y$90,2)</f>
        <v>0</v>
      </c>
      <c r="Z159" s="43">
        <f>ROUND($B159*Z$90,2)</f>
        <v>0</v>
      </c>
      <c r="AA159" s="43">
        <f>ROUND($B159*AA$90,2)</f>
        <v>0</v>
      </c>
      <c r="AB159" s="19">
        <f>SUM(U$90:AA$90)+(-V$90+V121)</f>
        <v>4.548E-3</v>
      </c>
      <c r="AC159" s="118"/>
      <c r="AE159" s="118"/>
      <c r="AG159" s="118"/>
      <c r="AI159" s="118"/>
      <c r="AK159" s="118"/>
      <c r="AM159" s="118"/>
      <c r="AO159" s="118"/>
      <c r="AQ159" s="118"/>
      <c r="AS159" s="118"/>
      <c r="AU159" s="118"/>
      <c r="AW159" s="118"/>
      <c r="AY159" s="118"/>
      <c r="BA159" s="118"/>
      <c r="BC159" s="118"/>
      <c r="BE159" s="118"/>
      <c r="BG159" s="118"/>
      <c r="BI159" s="118"/>
      <c r="BK159" s="118"/>
      <c r="BM159" s="118"/>
      <c r="BO159" s="118"/>
      <c r="BQ159" s="118"/>
      <c r="BS159" s="118"/>
      <c r="BU159" s="118"/>
      <c r="BW159" s="118"/>
      <c r="BY159" s="118"/>
      <c r="CA159" s="118"/>
      <c r="CC159" s="118"/>
      <c r="CE159" s="118"/>
      <c r="CG159" s="118"/>
      <c r="CI159" s="118"/>
      <c r="CK159" s="118"/>
      <c r="CM159" s="118"/>
      <c r="CO159" s="118"/>
      <c r="CQ159" s="118"/>
      <c r="CS159" s="118"/>
      <c r="CU159" s="118"/>
      <c r="CW159" s="118"/>
      <c r="CY159" s="118"/>
      <c r="DA159" s="118"/>
      <c r="DC159" s="118"/>
      <c r="DE159" s="118"/>
      <c r="DG159" s="118"/>
      <c r="DI159" s="118"/>
      <c r="DK159" s="118"/>
      <c r="DM159" s="118"/>
      <c r="DO159" s="118"/>
      <c r="DQ159" s="118"/>
      <c r="DS159" s="118"/>
    </row>
    <row r="160" spans="2:123" ht="13" x14ac:dyDescent="0.3">
      <c r="B160" s="128">
        <v>-1</v>
      </c>
      <c r="C160" s="96"/>
      <c r="F160" s="37"/>
      <c r="G160" s="43"/>
      <c r="H160" s="19"/>
      <c r="I160" s="19"/>
      <c r="J160" s="101"/>
      <c r="K160" s="101"/>
      <c r="L160" s="101"/>
      <c r="M160" s="42"/>
      <c r="N160" s="42"/>
      <c r="O160" s="42"/>
      <c r="P160" s="42"/>
      <c r="Q160" s="42"/>
      <c r="R160" s="42"/>
      <c r="S160" s="51">
        <v>0.1</v>
      </c>
      <c r="T160" s="43"/>
      <c r="U160" s="43"/>
      <c r="V160" s="42"/>
      <c r="W160" s="43"/>
      <c r="X160" s="43"/>
      <c r="Y160" s="43"/>
      <c r="Z160" s="43"/>
      <c r="AA160" s="43"/>
      <c r="AB160" s="19"/>
      <c r="AC160" s="115"/>
      <c r="AE160" s="118"/>
      <c r="AG160" s="118"/>
      <c r="AI160" s="118"/>
      <c r="AK160" s="118"/>
      <c r="AM160" s="118"/>
      <c r="AO160" s="118"/>
      <c r="AQ160" s="118"/>
      <c r="AS160" s="118"/>
      <c r="AU160" s="118"/>
      <c r="AW160" s="118"/>
      <c r="AY160" s="118"/>
      <c r="BA160" s="118"/>
      <c r="BC160" s="118"/>
      <c r="BE160" s="118"/>
      <c r="BG160" s="118"/>
      <c r="BI160" s="118"/>
      <c r="BK160" s="118"/>
      <c r="BM160" s="118"/>
      <c r="BO160" s="118"/>
      <c r="BQ160" s="118"/>
      <c r="BS160" s="118"/>
      <c r="BU160" s="118"/>
      <c r="BW160" s="118"/>
      <c r="BY160" s="118"/>
      <c r="CA160" s="118"/>
      <c r="CC160" s="118"/>
      <c r="CE160" s="118"/>
      <c r="CG160" s="118"/>
      <c r="CI160" s="118"/>
      <c r="CK160" s="118"/>
      <c r="CM160" s="118"/>
      <c r="CO160" s="118"/>
      <c r="CQ160" s="118"/>
      <c r="CS160" s="118"/>
      <c r="CU160" s="118"/>
      <c r="CW160" s="118"/>
      <c r="CY160" s="118"/>
      <c r="DA160" s="118"/>
      <c r="DC160" s="118"/>
      <c r="DE160" s="118"/>
      <c r="DG160" s="118"/>
      <c r="DI160" s="118"/>
      <c r="DK160" s="118"/>
      <c r="DM160" s="118"/>
      <c r="DO160" s="118"/>
      <c r="DQ160" s="118"/>
      <c r="DS160" s="118"/>
    </row>
    <row r="161" spans="1:123" ht="13" x14ac:dyDescent="0.3">
      <c r="B161" s="128">
        <f>IF(AND('AES Indiana Sep 23 Bill Calc.'!$D$17="SS",'AES Indiana Sep 23 Bill Calc.'!$D$18="Yes 10%",'AES Indiana Sep 23 Bill Calc.'!$D$20="Yes 2022"),'AES Indiana Sep 23 Bill Calc.'!$D$19,-1)</f>
        <v>-1</v>
      </c>
      <c r="C161" s="170" t="s">
        <v>173</v>
      </c>
      <c r="D161" s="118"/>
      <c r="F161" s="37" t="s">
        <v>178</v>
      </c>
      <c r="G161" s="43">
        <f>SUM(J161:M161,O161:P161,R161:AA161)</f>
        <v>39.299999999999997</v>
      </c>
      <c r="H161" s="19" t="e">
        <f>IF(ISBLANK(B161),0,+#REF!/B161)</f>
        <v>#REF!</v>
      </c>
      <c r="I161" s="118"/>
      <c r="J161" s="101">
        <f>IF(ISBLANK(B161),0,IF(B161&gt;J$91,+J$90,+F$90))</f>
        <v>39.4</v>
      </c>
      <c r="K161" s="101">
        <f>IF($B161&gt;K$91,ROUND(K$91*K$90,2),ROUND($B161*K$90,2))</f>
        <v>-0.1</v>
      </c>
      <c r="L161" s="101">
        <f>IF($B161&gt;K$91,ROUND(($B161-K$91)*L$90,2),0)</f>
        <v>0</v>
      </c>
      <c r="M161" s="118"/>
      <c r="N161" s="43">
        <f>SUM(K161:L161)</f>
        <v>-0.1</v>
      </c>
      <c r="O161" s="118"/>
      <c r="P161" s="118"/>
      <c r="Q161" s="118"/>
      <c r="S161" s="43">
        <f>ROUND($B161*S$90*S160,2)</f>
        <v>0</v>
      </c>
      <c r="T161" s="43">
        <f>ROUND($B161*T$90,2)</f>
        <v>0</v>
      </c>
      <c r="U161" s="43">
        <f>ROUND($B161*U$90,2)</f>
        <v>0</v>
      </c>
      <c r="V161" s="42">
        <f>ROUND($B161*V$88,2)</f>
        <v>0</v>
      </c>
      <c r="W161" s="118"/>
      <c r="X161" s="43">
        <f>ROUND($B161*X$90,2)</f>
        <v>0</v>
      </c>
      <c r="Y161" s="43">
        <f>ROUND($B161*Y$90,2)</f>
        <v>0</v>
      </c>
      <c r="Z161" s="43">
        <f>ROUND($B161*Z$90,2)</f>
        <v>0</v>
      </c>
      <c r="AA161" s="43">
        <f>ROUND($B161*AA$90,2)</f>
        <v>0</v>
      </c>
      <c r="AB161" s="19">
        <f>SUM(U$90:AA$90)+(-V$90+V123)</f>
        <v>4.548E-3</v>
      </c>
      <c r="AC161" s="118"/>
      <c r="AE161" s="118"/>
      <c r="AG161" s="118"/>
      <c r="AI161" s="118"/>
      <c r="AK161" s="118"/>
      <c r="AM161" s="118"/>
      <c r="AO161" s="118"/>
      <c r="AQ161" s="118"/>
      <c r="AS161" s="118"/>
      <c r="AU161" s="118"/>
      <c r="AW161" s="118"/>
      <c r="AY161" s="118"/>
      <c r="BA161" s="118"/>
      <c r="BC161" s="118"/>
      <c r="BE161" s="118"/>
      <c r="BG161" s="118"/>
      <c r="BI161" s="118"/>
      <c r="BK161" s="118"/>
      <c r="BM161" s="118"/>
      <c r="BO161" s="118"/>
      <c r="BQ161" s="118"/>
      <c r="BS161" s="118"/>
      <c r="BU161" s="118"/>
      <c r="BW161" s="118"/>
      <c r="BY161" s="118"/>
      <c r="CA161" s="118"/>
      <c r="CC161" s="118"/>
      <c r="CE161" s="118"/>
      <c r="CG161" s="118"/>
      <c r="CI161" s="118"/>
      <c r="CK161" s="118"/>
      <c r="CM161" s="118"/>
      <c r="CO161" s="118"/>
      <c r="CQ161" s="118"/>
      <c r="CS161" s="118"/>
      <c r="CU161" s="118"/>
      <c r="CW161" s="118"/>
      <c r="CY161" s="118"/>
      <c r="DA161" s="118"/>
      <c r="DC161" s="118"/>
      <c r="DE161" s="118"/>
      <c r="DG161" s="118"/>
      <c r="DI161" s="118"/>
      <c r="DK161" s="118"/>
      <c r="DM161" s="118"/>
      <c r="DO161" s="118"/>
      <c r="DQ161" s="118"/>
      <c r="DS161" s="118"/>
    </row>
    <row r="162" spans="1:123" ht="13" x14ac:dyDescent="0.3">
      <c r="B162" s="128">
        <v>-1</v>
      </c>
      <c r="C162" s="41"/>
      <c r="F162" s="37"/>
      <c r="G162" s="43"/>
      <c r="H162" s="19"/>
      <c r="I162" s="19"/>
      <c r="J162" s="101"/>
      <c r="K162" s="101"/>
      <c r="L162" s="101"/>
      <c r="M162" s="42"/>
      <c r="N162" s="42"/>
      <c r="O162" s="42"/>
      <c r="P162" s="42"/>
      <c r="Q162" s="42"/>
      <c r="R162" s="42"/>
      <c r="S162" s="51">
        <v>0</v>
      </c>
      <c r="T162" s="43"/>
      <c r="U162" s="43"/>
      <c r="V162" s="42"/>
      <c r="W162" s="43"/>
      <c r="X162" s="43"/>
      <c r="Y162" s="43"/>
      <c r="Z162" s="43"/>
      <c r="AA162" s="43"/>
      <c r="AB162" s="19"/>
      <c r="AC162" s="115"/>
      <c r="AE162" s="118"/>
      <c r="AG162" s="118"/>
      <c r="AI162" s="118"/>
      <c r="AK162" s="118"/>
      <c r="AM162" s="118"/>
      <c r="AO162" s="118"/>
      <c r="AQ162" s="118"/>
      <c r="AS162" s="118"/>
      <c r="AU162" s="118"/>
      <c r="AW162" s="118"/>
      <c r="AY162" s="118"/>
      <c r="BA162" s="118"/>
      <c r="BC162" s="118"/>
      <c r="BE162" s="118"/>
      <c r="BG162" s="118"/>
      <c r="BI162" s="118"/>
      <c r="BK162" s="118"/>
      <c r="BM162" s="118"/>
      <c r="BO162" s="118"/>
      <c r="BQ162" s="118"/>
      <c r="BS162" s="118"/>
      <c r="BU162" s="118"/>
      <c r="BW162" s="118"/>
      <c r="BY162" s="118"/>
      <c r="CA162" s="118"/>
      <c r="CC162" s="118"/>
      <c r="CE162" s="118"/>
      <c r="CG162" s="118"/>
      <c r="CI162" s="118"/>
      <c r="CK162" s="118"/>
      <c r="CM162" s="118"/>
      <c r="CO162" s="118"/>
      <c r="CQ162" s="118"/>
      <c r="CS162" s="118"/>
      <c r="CU162" s="118"/>
      <c r="CW162" s="118"/>
      <c r="CY162" s="118"/>
      <c r="DA162" s="118"/>
      <c r="DC162" s="118"/>
      <c r="DE162" s="118"/>
      <c r="DG162" s="118"/>
      <c r="DI162" s="118"/>
      <c r="DK162" s="118"/>
      <c r="DM162" s="118"/>
      <c r="DO162" s="118"/>
      <c r="DQ162" s="118"/>
      <c r="DS162" s="118"/>
    </row>
    <row r="163" spans="1:123" ht="13" x14ac:dyDescent="0.3">
      <c r="B163" s="128">
        <f>IF(AND('AES Indiana Sep 23 Bill Calc.'!$D$17="SS",'AES Indiana Sep 23 Bill Calc.'!$D$18="No",'AES Indiana Sep 23 Bill Calc.'!$D$20="Yes 2022"),'AES Indiana Sep 23 Bill Calc.'!$D$19,-1)</f>
        <v>-1</v>
      </c>
      <c r="C163" s="170" t="s">
        <v>172</v>
      </c>
      <c r="D163" s="118"/>
      <c r="F163" s="37" t="s">
        <v>178</v>
      </c>
      <c r="G163" s="43">
        <f>SUM(J163:M163,O163:P163,R163:AA163)</f>
        <v>39.299999999999997</v>
      </c>
      <c r="H163" s="19" t="e">
        <f>IF(ISBLANK(B163),0,+#REF!/B163)</f>
        <v>#REF!</v>
      </c>
      <c r="I163" s="118"/>
      <c r="J163" s="101">
        <f>IF(ISBLANK(B163),0,IF(B163&gt;J$91,+J$90,+F$90))</f>
        <v>39.4</v>
      </c>
      <c r="K163" s="101">
        <f>IF($B163&gt;K$91,ROUND(K$91*K$90,2),ROUND($B163*K$90,2))</f>
        <v>-0.1</v>
      </c>
      <c r="L163" s="101">
        <f>IF($B163&gt;K$91,ROUND(($B163-K$91)*L$90,2),0)</f>
        <v>0</v>
      </c>
      <c r="M163" s="118"/>
      <c r="N163" s="43">
        <f>SUM(K163:L163)</f>
        <v>-0.1</v>
      </c>
      <c r="O163" s="118"/>
      <c r="P163" s="118"/>
      <c r="Q163" s="118"/>
      <c r="S163" s="43">
        <f>ROUND($B163*S$90*S162,2)</f>
        <v>0</v>
      </c>
      <c r="T163" s="43">
        <f>ROUND($B163*T$90,2)</f>
        <v>0</v>
      </c>
      <c r="U163" s="43">
        <f>ROUND($B163*U$90,2)</f>
        <v>0</v>
      </c>
      <c r="V163" s="42">
        <f>ROUND($B163*V$88,2)</f>
        <v>0</v>
      </c>
      <c r="W163" s="118"/>
      <c r="X163" s="43">
        <f>ROUND($B163*X$90,2)</f>
        <v>0</v>
      </c>
      <c r="Y163" s="43">
        <f>ROUND($B163*Y$90,2)</f>
        <v>0</v>
      </c>
      <c r="Z163" s="43">
        <f>ROUND($B163*Z$90,2)</f>
        <v>0</v>
      </c>
      <c r="AA163" s="43">
        <f>ROUND($B163*AA$90,2)</f>
        <v>0</v>
      </c>
      <c r="AB163" s="19">
        <f>SUM(U$90:AA$90)+(-V$90+V125)</f>
        <v>4.548E-3</v>
      </c>
      <c r="AC163" s="118"/>
      <c r="AE163" s="118"/>
      <c r="AG163" s="118"/>
      <c r="AI163" s="118"/>
      <c r="AK163" s="118"/>
      <c r="AM163" s="118"/>
      <c r="AO163" s="118"/>
      <c r="AQ163" s="118"/>
      <c r="AS163" s="118"/>
      <c r="AU163" s="118"/>
      <c r="AW163" s="118"/>
      <c r="AY163" s="118"/>
      <c r="BA163" s="118"/>
      <c r="BC163" s="118"/>
      <c r="BE163" s="118"/>
      <c r="BG163" s="118"/>
      <c r="BI163" s="118"/>
      <c r="BK163" s="118"/>
      <c r="BM163" s="118"/>
      <c r="BO163" s="118"/>
      <c r="BQ163" s="118"/>
      <c r="BS163" s="118"/>
      <c r="BU163" s="118"/>
      <c r="BW163" s="118"/>
      <c r="BY163" s="118"/>
      <c r="CA163" s="118"/>
      <c r="CC163" s="118"/>
      <c r="CE163" s="118"/>
      <c r="CG163" s="118"/>
      <c r="CI163" s="118"/>
      <c r="CK163" s="118"/>
      <c r="CM163" s="118"/>
      <c r="CO163" s="118"/>
      <c r="CQ163" s="118"/>
      <c r="CS163" s="118"/>
      <c r="CU163" s="118"/>
      <c r="CW163" s="118"/>
      <c r="CY163" s="118"/>
      <c r="DA163" s="118"/>
      <c r="DC163" s="118"/>
      <c r="DE163" s="118"/>
      <c r="DG163" s="118"/>
      <c r="DI163" s="118"/>
      <c r="DK163" s="118"/>
      <c r="DM163" s="118"/>
      <c r="DO163" s="118"/>
      <c r="DQ163" s="118"/>
      <c r="DS163" s="118"/>
    </row>
    <row r="164" spans="1:123" ht="13" x14ac:dyDescent="0.3">
      <c r="B164" s="128">
        <v>-1</v>
      </c>
      <c r="C164" s="170"/>
      <c r="D164" s="118"/>
      <c r="F164" s="37"/>
      <c r="G164" s="43"/>
      <c r="H164" s="19"/>
      <c r="I164" s="118"/>
      <c r="J164" s="101"/>
      <c r="K164" s="101"/>
      <c r="L164" s="101"/>
      <c r="M164" s="118"/>
      <c r="N164" s="43"/>
      <c r="O164" s="118"/>
      <c r="P164" s="118"/>
      <c r="Q164" s="118"/>
      <c r="S164" s="51">
        <v>1</v>
      </c>
      <c r="T164" s="43"/>
      <c r="U164" s="43"/>
      <c r="V164" s="42"/>
      <c r="W164" s="118"/>
      <c r="X164" s="43"/>
      <c r="Y164" s="43"/>
      <c r="Z164" s="43"/>
      <c r="AA164" s="43"/>
      <c r="AB164" s="19"/>
      <c r="AC164" s="118"/>
      <c r="AE164" s="118"/>
      <c r="AG164" s="118"/>
      <c r="AI164" s="118"/>
      <c r="AK164" s="118"/>
      <c r="AM164" s="118"/>
      <c r="AO164" s="118"/>
      <c r="AQ164" s="118"/>
      <c r="AS164" s="118"/>
      <c r="AU164" s="118"/>
      <c r="AW164" s="118"/>
      <c r="AY164" s="118"/>
      <c r="BA164" s="118"/>
      <c r="BC164" s="118"/>
      <c r="BE164" s="118"/>
      <c r="BG164" s="118"/>
      <c r="BI164" s="118"/>
      <c r="BK164" s="118"/>
      <c r="BM164" s="118"/>
      <c r="BO164" s="118"/>
      <c r="BQ164" s="118"/>
      <c r="BS164" s="118"/>
      <c r="BU164" s="118"/>
      <c r="BW164" s="118"/>
      <c r="BY164" s="118"/>
      <c r="CA164" s="118"/>
      <c r="CC164" s="118"/>
      <c r="CE164" s="118"/>
      <c r="CG164" s="118"/>
      <c r="CI164" s="118"/>
      <c r="CK164" s="118"/>
      <c r="CM164" s="118"/>
      <c r="CO164" s="118"/>
      <c r="CQ164" s="118"/>
      <c r="CS164" s="118"/>
      <c r="CU164" s="118"/>
      <c r="CW164" s="118"/>
      <c r="CY164" s="118"/>
      <c r="DA164" s="118"/>
      <c r="DC164" s="118"/>
      <c r="DE164" s="118"/>
      <c r="DG164" s="118"/>
      <c r="DI164" s="118"/>
      <c r="DK164" s="118"/>
      <c r="DM164" s="118"/>
      <c r="DO164" s="118"/>
      <c r="DQ164" s="118"/>
      <c r="DS164" s="118"/>
    </row>
    <row r="165" spans="1:123" ht="13" x14ac:dyDescent="0.3">
      <c r="B165" s="128">
        <f>IF(AND('AES Indiana Sep 23 Bill Calc.'!$D$17="SS",'AES Indiana Sep 23 Bill Calc.'!$D$18="Yes 100%",'AES Indiana Sep 23 Bill Calc.'!$D$20="Yes 2023"),'AES Indiana Sep 23 Bill Calc.'!$D$19,-1)</f>
        <v>-1</v>
      </c>
      <c r="C165" s="170" t="s">
        <v>73</v>
      </c>
      <c r="D165" s="118"/>
      <c r="F165" s="37" t="s">
        <v>295</v>
      </c>
      <c r="G165" s="43">
        <f>SUM(J165:M165,O165:P165,R165:AA165)</f>
        <v>39.299999999999997</v>
      </c>
      <c r="H165" s="19" t="e">
        <f>IF(ISBLANK(B165),0,+#REF!/B165)</f>
        <v>#REF!</v>
      </c>
      <c r="I165" s="118"/>
      <c r="J165" s="101">
        <f>IF(ISBLANK(B165),0,IF(B165&gt;J$91,+J$90,+F$90))</f>
        <v>39.4</v>
      </c>
      <c r="K165" s="101">
        <f>IF($B165&gt;K$91,ROUND(K$91*K$90,2),ROUND($B165*K$90,2))</f>
        <v>-0.1</v>
      </c>
      <c r="L165" s="101">
        <f>IF($B165&gt;K$91,ROUND(($B165-K$91)*L$90,2),0)</f>
        <v>0</v>
      </c>
      <c r="M165" s="118"/>
      <c r="N165" s="43">
        <f>SUM(K165:L165)</f>
        <v>-0.1</v>
      </c>
      <c r="O165" s="118"/>
      <c r="P165" s="118"/>
      <c r="Q165" s="118"/>
      <c r="S165" s="43">
        <f>ROUND($B165*S$90*S164,2)</f>
        <v>0</v>
      </c>
      <c r="T165" s="43">
        <f>ROUND($B165*T$90,2)</f>
        <v>0</v>
      </c>
      <c r="U165" s="43">
        <f>ROUND($B165*U$90,2)</f>
        <v>0</v>
      </c>
      <c r="V165" s="42">
        <f>ROUND($B165*V$89,2)</f>
        <v>0</v>
      </c>
      <c r="W165" s="118"/>
      <c r="X165" s="43">
        <f>ROUND($B165*X$90,2)</f>
        <v>0</v>
      </c>
      <c r="Y165" s="43">
        <f>ROUND($B165*Y$90,2)</f>
        <v>0</v>
      </c>
      <c r="Z165" s="43">
        <f>ROUND($B165*Z$90,2)</f>
        <v>0</v>
      </c>
      <c r="AA165" s="43">
        <f>ROUND($B165*AA$90,2)</f>
        <v>0</v>
      </c>
      <c r="AB165" s="19">
        <f>SUM(U$90:AA$90)+(-V$90+V127)</f>
        <v>4.548E-3</v>
      </c>
      <c r="AC165" s="118"/>
      <c r="AE165" s="118"/>
      <c r="AG165" s="118"/>
      <c r="AI165" s="118"/>
      <c r="AK165" s="118"/>
      <c r="AM165" s="118"/>
      <c r="AO165" s="118"/>
      <c r="AQ165" s="118"/>
      <c r="AS165" s="118"/>
      <c r="AU165" s="118"/>
      <c r="AW165" s="118"/>
      <c r="AY165" s="118"/>
      <c r="BA165" s="118"/>
      <c r="BC165" s="118"/>
      <c r="BE165" s="118"/>
      <c r="BG165" s="118"/>
      <c r="BI165" s="118"/>
      <c r="BK165" s="118"/>
      <c r="BM165" s="118"/>
      <c r="BO165" s="118"/>
      <c r="BQ165" s="118"/>
      <c r="BS165" s="118"/>
      <c r="BU165" s="118"/>
      <c r="BW165" s="118"/>
      <c r="BY165" s="118"/>
      <c r="CA165" s="118"/>
      <c r="CC165" s="118"/>
      <c r="CE165" s="118"/>
      <c r="CG165" s="118"/>
      <c r="CI165" s="118"/>
      <c r="CK165" s="118"/>
      <c r="CM165" s="118"/>
      <c r="CO165" s="118"/>
      <c r="CQ165" s="118"/>
      <c r="CS165" s="118"/>
      <c r="CU165" s="118"/>
      <c r="CW165" s="118"/>
      <c r="CY165" s="118"/>
      <c r="DA165" s="118"/>
      <c r="DC165" s="118"/>
      <c r="DE165" s="118"/>
      <c r="DG165" s="118"/>
      <c r="DI165" s="118"/>
      <c r="DK165" s="118"/>
      <c r="DM165" s="118"/>
      <c r="DO165" s="118"/>
      <c r="DQ165" s="118"/>
      <c r="DS165" s="118"/>
    </row>
    <row r="166" spans="1:123" ht="13" x14ac:dyDescent="0.3">
      <c r="B166" s="128">
        <v>-1</v>
      </c>
      <c r="C166" s="9"/>
      <c r="F166" s="37"/>
      <c r="G166" s="43"/>
      <c r="H166" s="19"/>
      <c r="I166" s="19"/>
      <c r="J166" s="101"/>
      <c r="K166" s="101"/>
      <c r="L166" s="101"/>
      <c r="M166" s="42"/>
      <c r="N166" s="42"/>
      <c r="O166" s="42"/>
      <c r="P166" s="42"/>
      <c r="Q166" s="42"/>
      <c r="R166" s="42"/>
      <c r="S166" s="51">
        <v>0.5</v>
      </c>
      <c r="T166" s="43"/>
      <c r="U166" s="43"/>
      <c r="V166" s="42"/>
      <c r="W166" s="43"/>
      <c r="X166" s="43"/>
      <c r="Y166" s="43"/>
      <c r="Z166" s="43"/>
      <c r="AA166" s="43"/>
      <c r="AB166" s="19"/>
      <c r="AC166" s="115"/>
      <c r="AE166" s="118"/>
      <c r="AG166" s="118"/>
      <c r="AI166" s="118"/>
      <c r="AK166" s="118"/>
      <c r="AM166" s="118"/>
      <c r="AO166" s="118"/>
      <c r="AQ166" s="118"/>
      <c r="AS166" s="118"/>
      <c r="AU166" s="118"/>
      <c r="AW166" s="118"/>
      <c r="AY166" s="118"/>
      <c r="BA166" s="118"/>
      <c r="BC166" s="118"/>
      <c r="BE166" s="118"/>
      <c r="BG166" s="118"/>
      <c r="BI166" s="118"/>
      <c r="BK166" s="118"/>
      <c r="BM166" s="118"/>
      <c r="BO166" s="118"/>
      <c r="BQ166" s="118"/>
      <c r="BS166" s="118"/>
      <c r="BU166" s="118"/>
      <c r="BW166" s="118"/>
      <c r="BY166" s="118"/>
      <c r="CA166" s="118"/>
      <c r="CC166" s="118"/>
      <c r="CE166" s="118"/>
      <c r="CG166" s="118"/>
      <c r="CI166" s="118"/>
      <c r="CK166" s="118"/>
      <c r="CM166" s="118"/>
      <c r="CO166" s="118"/>
      <c r="CQ166" s="118"/>
      <c r="CS166" s="118"/>
      <c r="CU166" s="118"/>
      <c r="CW166" s="118"/>
      <c r="CY166" s="118"/>
      <c r="DA166" s="118"/>
      <c r="DC166" s="118"/>
      <c r="DE166" s="118"/>
      <c r="DG166" s="118"/>
      <c r="DI166" s="118"/>
      <c r="DK166" s="118"/>
      <c r="DM166" s="118"/>
      <c r="DO166" s="118"/>
      <c r="DQ166" s="118"/>
      <c r="DS166" s="118"/>
    </row>
    <row r="167" spans="1:123" ht="13" x14ac:dyDescent="0.3">
      <c r="B167" s="111">
        <f>IF(AND('AES Indiana Sep 23 Bill Calc.'!$D$17="SS",'AES Indiana Sep 23 Bill Calc.'!$D$18="Yes 50%",'AES Indiana Sep 23 Bill Calc.'!$D$20="Yes 2023"),'AES Indiana Sep 23 Bill Calc.'!$D$19,-1)</f>
        <v>-1</v>
      </c>
      <c r="C167" s="57" t="s">
        <v>171</v>
      </c>
      <c r="D167" s="118"/>
      <c r="F167" s="37" t="s">
        <v>295</v>
      </c>
      <c r="G167" s="43">
        <f>SUM(J167:M167,O167:P167,R167:AA167)</f>
        <v>39.299999999999997</v>
      </c>
      <c r="H167" s="19" t="e">
        <f>IF(ISBLANK(B167),0,+#REF!/B167)</f>
        <v>#REF!</v>
      </c>
      <c r="I167" s="118"/>
      <c r="J167" s="101">
        <f>IF(ISBLANK(B167),0,IF(B167&gt;J$91,+J$90,+F$90))</f>
        <v>39.4</v>
      </c>
      <c r="K167" s="101">
        <f>IF($B167&gt;K$91,ROUND(K$91*K$90,2),ROUND($B167*K$90,2))</f>
        <v>-0.1</v>
      </c>
      <c r="L167" s="101">
        <f>IF($B167&gt;K$91,ROUND(($B167-K$91)*L$90,2),0)</f>
        <v>0</v>
      </c>
      <c r="M167" s="118"/>
      <c r="N167" s="43">
        <f>SUM(K167:L167)</f>
        <v>-0.1</v>
      </c>
      <c r="O167" s="118"/>
      <c r="P167" s="118"/>
      <c r="Q167" s="118"/>
      <c r="S167" s="43">
        <f>ROUND($B167*S$90*S166,2)</f>
        <v>0</v>
      </c>
      <c r="T167" s="43">
        <f>ROUND($B167*T$90,2)</f>
        <v>0</v>
      </c>
      <c r="U167" s="43">
        <f>ROUND($B167*U$90,2)</f>
        <v>0</v>
      </c>
      <c r="V167" s="42">
        <f>ROUND($B167*V$89,2)</f>
        <v>0</v>
      </c>
      <c r="W167" s="118"/>
      <c r="X167" s="43">
        <f>ROUND($B167*X$90,2)</f>
        <v>0</v>
      </c>
      <c r="Y167" s="43">
        <f>ROUND($B167*Y$90,2)</f>
        <v>0</v>
      </c>
      <c r="Z167" s="43">
        <f>ROUND($B167*Z$90,2)</f>
        <v>0</v>
      </c>
      <c r="AA167" s="43">
        <f>ROUND($B167*AA$90,2)</f>
        <v>0</v>
      </c>
      <c r="AB167" s="19">
        <f>SUM(U$90:AA$90)+(-V$90+V129)</f>
        <v>4.548E-3</v>
      </c>
      <c r="AC167" s="118"/>
      <c r="AE167" s="118"/>
      <c r="AG167" s="118"/>
      <c r="AI167" s="118"/>
      <c r="AK167" s="118"/>
      <c r="AM167" s="118"/>
      <c r="AO167" s="118"/>
      <c r="AQ167" s="118"/>
      <c r="AS167" s="118"/>
      <c r="AU167" s="118"/>
      <c r="AW167" s="118"/>
      <c r="AY167" s="118"/>
      <c r="BA167" s="118"/>
      <c r="BC167" s="118"/>
      <c r="BE167" s="118"/>
      <c r="BG167" s="118"/>
      <c r="BI167" s="118"/>
      <c r="BK167" s="118"/>
      <c r="BM167" s="118"/>
      <c r="BO167" s="118"/>
      <c r="BQ167" s="118"/>
      <c r="BS167" s="118"/>
      <c r="BU167" s="118"/>
      <c r="BW167" s="118"/>
      <c r="BY167" s="118"/>
      <c r="CA167" s="118"/>
      <c r="CC167" s="118"/>
      <c r="CE167" s="118"/>
      <c r="CG167" s="118"/>
      <c r="CI167" s="118"/>
      <c r="CK167" s="118"/>
      <c r="CM167" s="118"/>
      <c r="CO167" s="118"/>
      <c r="CQ167" s="118"/>
      <c r="CS167" s="118"/>
      <c r="CU167" s="118"/>
      <c r="CW167" s="118"/>
      <c r="CY167" s="118"/>
      <c r="DA167" s="118"/>
      <c r="DC167" s="118"/>
      <c r="DE167" s="118"/>
      <c r="DG167" s="118"/>
      <c r="DI167" s="118"/>
      <c r="DK167" s="118"/>
      <c r="DM167" s="118"/>
      <c r="DO167" s="118"/>
      <c r="DQ167" s="118"/>
      <c r="DS167" s="118"/>
    </row>
    <row r="168" spans="1:123" ht="13" x14ac:dyDescent="0.3">
      <c r="B168" s="128">
        <v>-1</v>
      </c>
      <c r="C168" s="9"/>
      <c r="F168" s="37"/>
      <c r="G168" s="43"/>
      <c r="H168" s="19"/>
      <c r="I168" s="19"/>
      <c r="J168" s="101"/>
      <c r="K168" s="101"/>
      <c r="L168" s="101"/>
      <c r="M168" s="42"/>
      <c r="N168" s="42"/>
      <c r="O168" s="42"/>
      <c r="P168" s="42"/>
      <c r="Q168" s="42"/>
      <c r="R168" s="42"/>
      <c r="S168" s="51">
        <v>0.25</v>
      </c>
      <c r="T168" s="43"/>
      <c r="U168" s="43"/>
      <c r="V168" s="42"/>
      <c r="W168" s="43"/>
      <c r="X168" s="43"/>
      <c r="Y168" s="43"/>
      <c r="Z168" s="43"/>
      <c r="AA168" s="43"/>
      <c r="AB168" s="19"/>
      <c r="AC168" s="115"/>
      <c r="AE168" s="118"/>
      <c r="AG168" s="118"/>
      <c r="AI168" s="118"/>
      <c r="AK168" s="118"/>
      <c r="AM168" s="118"/>
      <c r="AO168" s="118"/>
      <c r="AQ168" s="118"/>
      <c r="AS168" s="118"/>
      <c r="AU168" s="118"/>
      <c r="AW168" s="118"/>
      <c r="AY168" s="118"/>
      <c r="BA168" s="118"/>
      <c r="BC168" s="118"/>
      <c r="BE168" s="118"/>
      <c r="BG168" s="118"/>
      <c r="BI168" s="118"/>
      <c r="BK168" s="118"/>
      <c r="BM168" s="118"/>
      <c r="BO168" s="118"/>
      <c r="BQ168" s="118"/>
      <c r="BS168" s="118"/>
      <c r="BU168" s="118"/>
      <c r="BW168" s="118"/>
      <c r="BY168" s="118"/>
      <c r="CA168" s="118"/>
      <c r="CC168" s="118"/>
      <c r="CE168" s="118"/>
      <c r="CG168" s="118"/>
      <c r="CI168" s="118"/>
      <c r="CK168" s="118"/>
      <c r="CM168" s="118"/>
      <c r="CO168" s="118"/>
      <c r="CQ168" s="118"/>
      <c r="CS168" s="118"/>
      <c r="CU168" s="118"/>
      <c r="CW168" s="118"/>
      <c r="CY168" s="118"/>
      <c r="DA168" s="118"/>
      <c r="DC168" s="118"/>
      <c r="DE168" s="118"/>
      <c r="DG168" s="118"/>
      <c r="DI168" s="118"/>
      <c r="DK168" s="118"/>
      <c r="DM168" s="118"/>
      <c r="DO168" s="118"/>
      <c r="DQ168" s="118"/>
      <c r="DS168" s="118"/>
    </row>
    <row r="169" spans="1:123" ht="13" x14ac:dyDescent="0.3">
      <c r="B169" s="111">
        <f>IF(AND('AES Indiana Sep 23 Bill Calc.'!$D$17="SS",'AES Indiana Sep 23 Bill Calc.'!$D$18="Yes 25%",'AES Indiana Sep 23 Bill Calc.'!$D$20="Yes 2023"),'AES Indiana Sep 23 Bill Calc.'!$D$19,-1)</f>
        <v>-1</v>
      </c>
      <c r="C169" s="57" t="s">
        <v>158</v>
      </c>
      <c r="D169" s="118"/>
      <c r="F169" s="37" t="s">
        <v>295</v>
      </c>
      <c r="G169" s="43">
        <f>SUM(J169:M169,O169:P169,R169:AA169)</f>
        <v>39.299999999999997</v>
      </c>
      <c r="H169" s="19" t="e">
        <f>IF(ISBLANK(B169),0,+#REF!/B169)</f>
        <v>#REF!</v>
      </c>
      <c r="I169" s="118"/>
      <c r="J169" s="101">
        <f>IF(ISBLANK(B169),0,IF(B169&gt;J$91,+J$90,+F$90))</f>
        <v>39.4</v>
      </c>
      <c r="K169" s="101">
        <f>IF($B169&gt;K$91,ROUND(K$91*K$90,2),ROUND($B169*K$90,2))</f>
        <v>-0.1</v>
      </c>
      <c r="L169" s="101">
        <f>IF($B169&gt;K$91,ROUND(($B169-K$91)*L$90,2),0)</f>
        <v>0</v>
      </c>
      <c r="M169" s="118"/>
      <c r="N169" s="43">
        <f>SUM(K169:L169)</f>
        <v>-0.1</v>
      </c>
      <c r="O169" s="118"/>
      <c r="P169" s="118"/>
      <c r="Q169" s="118"/>
      <c r="S169" s="43">
        <f>ROUND($B169*S$90*S168,2)</f>
        <v>0</v>
      </c>
      <c r="T169" s="43">
        <f>ROUND($B169*T$90,2)</f>
        <v>0</v>
      </c>
      <c r="U169" s="43">
        <f>ROUND($B169*U$90,2)</f>
        <v>0</v>
      </c>
      <c r="V169" s="42">
        <f>ROUND($B169*V$89,2)</f>
        <v>0</v>
      </c>
      <c r="W169" s="118"/>
      <c r="X169" s="43">
        <f>ROUND($B169*X$90,2)</f>
        <v>0</v>
      </c>
      <c r="Y169" s="43">
        <f>ROUND($B169*Y$90,2)</f>
        <v>0</v>
      </c>
      <c r="Z169" s="43">
        <f>ROUND($B169*Z$90,2)</f>
        <v>0</v>
      </c>
      <c r="AA169" s="43">
        <f>ROUND($B169*AA$90,2)</f>
        <v>0</v>
      </c>
      <c r="AB169" s="19">
        <f>SUM(U$90:AA$90)+(-V$90+V131)</f>
        <v>4.548E-3</v>
      </c>
      <c r="AC169" s="118"/>
      <c r="AE169" s="118"/>
      <c r="AG169" s="118"/>
      <c r="AI169" s="118"/>
      <c r="AK169" s="118"/>
      <c r="AM169" s="118"/>
      <c r="AO169" s="118"/>
      <c r="AQ169" s="118"/>
      <c r="AS169" s="118"/>
      <c r="AU169" s="118"/>
      <c r="AW169" s="118"/>
      <c r="AY169" s="118"/>
      <c r="BA169" s="118"/>
      <c r="BC169" s="118"/>
      <c r="BE169" s="118"/>
      <c r="BG169" s="118"/>
      <c r="BI169" s="118"/>
      <c r="BK169" s="118"/>
      <c r="BM169" s="118"/>
      <c r="BO169" s="118"/>
      <c r="BQ169" s="118"/>
      <c r="BS169" s="118"/>
      <c r="BU169" s="118"/>
      <c r="BW169" s="118"/>
      <c r="BY169" s="118"/>
      <c r="CA169" s="118"/>
      <c r="CC169" s="118"/>
      <c r="CE169" s="118"/>
      <c r="CG169" s="118"/>
      <c r="CI169" s="118"/>
      <c r="CK169" s="118"/>
      <c r="CM169" s="118"/>
      <c r="CO169" s="118"/>
      <c r="CQ169" s="118"/>
      <c r="CS169" s="118"/>
      <c r="CU169" s="118"/>
      <c r="CW169" s="118"/>
      <c r="CY169" s="118"/>
      <c r="DA169" s="118"/>
      <c r="DC169" s="118"/>
      <c r="DE169" s="118"/>
      <c r="DG169" s="118"/>
      <c r="DI169" s="118"/>
      <c r="DK169" s="118"/>
      <c r="DM169" s="118"/>
      <c r="DO169" s="118"/>
      <c r="DQ169" s="118"/>
      <c r="DS169" s="118"/>
    </row>
    <row r="170" spans="1:123" ht="13" x14ac:dyDescent="0.3">
      <c r="B170" s="128">
        <v>-1</v>
      </c>
      <c r="C170" s="9"/>
      <c r="F170" s="37"/>
      <c r="G170" s="43"/>
      <c r="H170" s="19"/>
      <c r="I170" s="19"/>
      <c r="J170" s="101"/>
      <c r="K170" s="101"/>
      <c r="L170" s="101"/>
      <c r="M170" s="42"/>
      <c r="N170" s="42"/>
      <c r="O170" s="42"/>
      <c r="P170" s="42"/>
      <c r="Q170" s="42"/>
      <c r="R170" s="42"/>
      <c r="S170" s="51">
        <v>0.1</v>
      </c>
      <c r="T170" s="43"/>
      <c r="U170" s="43"/>
      <c r="V170" s="42"/>
      <c r="W170" s="43"/>
      <c r="X170" s="43"/>
      <c r="Y170" s="43"/>
      <c r="Z170" s="43"/>
      <c r="AA170" s="43"/>
      <c r="AB170" s="19"/>
      <c r="AC170" s="115"/>
      <c r="AE170" s="118"/>
      <c r="AG170" s="118"/>
      <c r="AI170" s="118"/>
      <c r="AK170" s="118"/>
      <c r="AM170" s="118"/>
      <c r="AO170" s="118"/>
      <c r="AQ170" s="118"/>
      <c r="AS170" s="118"/>
      <c r="AU170" s="118"/>
      <c r="AW170" s="118"/>
      <c r="AY170" s="118"/>
      <c r="BA170" s="118"/>
      <c r="BC170" s="118"/>
      <c r="BE170" s="118"/>
      <c r="BG170" s="118"/>
      <c r="BI170" s="118"/>
      <c r="BK170" s="118"/>
      <c r="BM170" s="118"/>
      <c r="BO170" s="118"/>
      <c r="BQ170" s="118"/>
      <c r="BS170" s="118"/>
      <c r="BU170" s="118"/>
      <c r="BW170" s="118"/>
      <c r="BY170" s="118"/>
      <c r="CA170" s="118"/>
      <c r="CC170" s="118"/>
      <c r="CE170" s="118"/>
      <c r="CG170" s="118"/>
      <c r="CI170" s="118"/>
      <c r="CK170" s="118"/>
      <c r="CM170" s="118"/>
      <c r="CO170" s="118"/>
      <c r="CQ170" s="118"/>
      <c r="CS170" s="118"/>
      <c r="CU170" s="118"/>
      <c r="CW170" s="118"/>
      <c r="CY170" s="118"/>
      <c r="DA170" s="118"/>
      <c r="DC170" s="118"/>
      <c r="DE170" s="118"/>
      <c r="DG170" s="118"/>
      <c r="DI170" s="118"/>
      <c r="DK170" s="118"/>
      <c r="DM170" s="118"/>
      <c r="DO170" s="118"/>
      <c r="DQ170" s="118"/>
      <c r="DS170" s="118"/>
    </row>
    <row r="171" spans="1:123" ht="13" x14ac:dyDescent="0.3">
      <c r="B171" s="111">
        <f>IF(AND('AES Indiana Sep 23 Bill Calc.'!$D$17="SS",'AES Indiana Sep 23 Bill Calc.'!$D$18="Yes 10%",'AES Indiana Sep 23 Bill Calc.'!$D$20="Yes 2023"),'AES Indiana Sep 23 Bill Calc.'!$D$19,-1)</f>
        <v>-1</v>
      </c>
      <c r="C171" s="57" t="s">
        <v>173</v>
      </c>
      <c r="D171" s="118"/>
      <c r="F171" s="37" t="s">
        <v>295</v>
      </c>
      <c r="G171" s="43">
        <f>SUM(J171:M171,O171:P171,R171:AA171)</f>
        <v>39.299999999999997</v>
      </c>
      <c r="H171" s="19" t="e">
        <f>IF(ISBLANK(B171),0,+#REF!/B171)</f>
        <v>#REF!</v>
      </c>
      <c r="I171" s="118"/>
      <c r="J171" s="101">
        <f>IF(ISBLANK(B171),0,IF(B171&gt;J$91,+J$90,+F$90))</f>
        <v>39.4</v>
      </c>
      <c r="K171" s="101">
        <f>IF($B171&gt;K$91,ROUND(K$91*K$90,2),ROUND($B171*K$90,2))</f>
        <v>-0.1</v>
      </c>
      <c r="L171" s="101">
        <f>IF($B171&gt;K$91,ROUND(($B171-K$91)*L$90,2),0)</f>
        <v>0</v>
      </c>
      <c r="M171" s="118"/>
      <c r="N171" s="43">
        <f>SUM(K171:L171)</f>
        <v>-0.1</v>
      </c>
      <c r="O171" s="118"/>
      <c r="P171" s="118"/>
      <c r="Q171" s="118"/>
      <c r="S171" s="43">
        <f>ROUND($B171*S$90*S170,2)</f>
        <v>0</v>
      </c>
      <c r="T171" s="43">
        <f>ROUND($B171*T$90,2)</f>
        <v>0</v>
      </c>
      <c r="U171" s="43">
        <f>ROUND($B171*U$90,2)</f>
        <v>0</v>
      </c>
      <c r="V171" s="42">
        <f>ROUND($B171*V$89,2)</f>
        <v>0</v>
      </c>
      <c r="W171" s="118"/>
      <c r="X171" s="43">
        <f>ROUND($B171*X$90,2)</f>
        <v>0</v>
      </c>
      <c r="Y171" s="43">
        <f>ROUND($B171*Y$90,2)</f>
        <v>0</v>
      </c>
      <c r="Z171" s="43">
        <f>ROUND($B171*Z$90,2)</f>
        <v>0</v>
      </c>
      <c r="AA171" s="43">
        <f>ROUND($B171*AA$90,2)</f>
        <v>0</v>
      </c>
      <c r="AB171" s="19">
        <f>SUM(U$90:AA$90)+(-V$90+V133)</f>
        <v>4.548E-3</v>
      </c>
      <c r="AC171" s="118"/>
      <c r="AE171" s="118"/>
      <c r="AG171" s="118"/>
      <c r="AI171" s="118"/>
      <c r="AK171" s="118"/>
      <c r="AM171" s="118"/>
      <c r="AO171" s="118"/>
      <c r="AQ171" s="118"/>
      <c r="AS171" s="118"/>
      <c r="AU171" s="118"/>
      <c r="AW171" s="118"/>
      <c r="AY171" s="118"/>
      <c r="BA171" s="118"/>
      <c r="BC171" s="118"/>
      <c r="BE171" s="118"/>
      <c r="BG171" s="118"/>
      <c r="BI171" s="118"/>
      <c r="BK171" s="118"/>
      <c r="BM171" s="118"/>
      <c r="BO171" s="118"/>
      <c r="BQ171" s="118"/>
      <c r="BS171" s="118"/>
      <c r="BU171" s="118"/>
      <c r="BW171" s="118"/>
      <c r="BY171" s="118"/>
      <c r="CA171" s="118"/>
      <c r="CC171" s="118"/>
      <c r="CE171" s="118"/>
      <c r="CG171" s="118"/>
      <c r="CI171" s="118"/>
      <c r="CK171" s="118"/>
      <c r="CM171" s="118"/>
      <c r="CO171" s="118"/>
      <c r="CQ171" s="118"/>
      <c r="CS171" s="118"/>
      <c r="CU171" s="118"/>
      <c r="CW171" s="118"/>
      <c r="CY171" s="118"/>
      <c r="DA171" s="118"/>
      <c r="DC171" s="118"/>
      <c r="DE171" s="118"/>
      <c r="DG171" s="118"/>
      <c r="DI171" s="118"/>
      <c r="DK171" s="118"/>
      <c r="DM171" s="118"/>
      <c r="DO171" s="118"/>
      <c r="DQ171" s="118"/>
      <c r="DS171" s="118"/>
    </row>
    <row r="172" spans="1:123" ht="13" x14ac:dyDescent="0.3">
      <c r="B172" s="128">
        <v>-1</v>
      </c>
      <c r="F172" s="37"/>
      <c r="G172" s="43"/>
      <c r="H172" s="19"/>
      <c r="I172" s="19"/>
      <c r="J172" s="101"/>
      <c r="K172" s="101"/>
      <c r="L172" s="101"/>
      <c r="M172" s="42"/>
      <c r="N172" s="42"/>
      <c r="O172" s="42"/>
      <c r="P172" s="42"/>
      <c r="Q172" s="42"/>
      <c r="R172" s="42"/>
      <c r="S172" s="51">
        <v>0</v>
      </c>
      <c r="T172" s="43"/>
      <c r="U172" s="43"/>
      <c r="V172" s="42"/>
      <c r="W172" s="43"/>
      <c r="X172" s="43"/>
      <c r="Y172" s="43"/>
      <c r="Z172" s="43"/>
      <c r="AA172" s="43"/>
      <c r="AB172" s="19"/>
      <c r="AC172" s="115"/>
      <c r="AE172" s="118"/>
      <c r="AG172" s="118"/>
      <c r="AI172" s="118"/>
      <c r="AK172" s="118"/>
      <c r="AM172" s="118"/>
      <c r="AO172" s="118"/>
      <c r="AQ172" s="118"/>
      <c r="AS172" s="118"/>
      <c r="AU172" s="118"/>
      <c r="AW172" s="118"/>
      <c r="AY172" s="118"/>
      <c r="BA172" s="118"/>
      <c r="BC172" s="118"/>
      <c r="BE172" s="118"/>
      <c r="BG172" s="118"/>
      <c r="BI172" s="118"/>
      <c r="BK172" s="118"/>
      <c r="BM172" s="118"/>
      <c r="BO172" s="118"/>
      <c r="BQ172" s="118"/>
      <c r="BS172" s="118"/>
      <c r="BU172" s="118"/>
      <c r="BW172" s="118"/>
      <c r="BY172" s="118"/>
      <c r="CA172" s="118"/>
      <c r="CC172" s="118"/>
      <c r="CE172" s="118"/>
      <c r="CG172" s="118"/>
      <c r="CI172" s="118"/>
      <c r="CK172" s="118"/>
      <c r="CM172" s="118"/>
      <c r="CO172" s="118"/>
      <c r="CQ172" s="118"/>
      <c r="CS172" s="118"/>
      <c r="CU172" s="118"/>
      <c r="CW172" s="118"/>
      <c r="CY172" s="118"/>
      <c r="DA172" s="118"/>
      <c r="DC172" s="118"/>
      <c r="DE172" s="118"/>
      <c r="DG172" s="118"/>
      <c r="DI172" s="118"/>
      <c r="DK172" s="118"/>
      <c r="DM172" s="118"/>
      <c r="DO172" s="118"/>
      <c r="DQ172" s="118"/>
      <c r="DS172" s="118"/>
    </row>
    <row r="173" spans="1:123" ht="13.5" thickBot="1" x14ac:dyDescent="0.35">
      <c r="A173" s="21"/>
      <c r="B173" s="121">
        <f>IF(AND('AES Indiana Sep 23 Bill Calc.'!$D$17="SS",'AES Indiana Sep 23 Bill Calc.'!$D$18="No",'AES Indiana Sep 23 Bill Calc.'!$D$20="Yes 2023"),'AES Indiana Sep 23 Bill Calc.'!$D$19,-1)</f>
        <v>-1</v>
      </c>
      <c r="C173" s="171" t="s">
        <v>172</v>
      </c>
      <c r="D173" s="124"/>
      <c r="E173" s="21"/>
      <c r="F173" s="95" t="s">
        <v>295</v>
      </c>
      <c r="G173" s="23">
        <f>SUM(J173:M173,O173:P173,R173:AA173)</f>
        <v>39.299999999999997</v>
      </c>
      <c r="H173" s="25" t="e">
        <f>IF(ISBLANK(B173),0,+#REF!/B173)</f>
        <v>#REF!</v>
      </c>
      <c r="I173" s="124"/>
      <c r="J173" s="22">
        <f>IF(ISBLANK(B173),0,IF(B173&gt;J$91,+J$90,+F$90))</f>
        <v>39.4</v>
      </c>
      <c r="K173" s="22">
        <f>IF($B173&gt;K$91,ROUND(K$91*K$90,2),ROUND($B173*K$90,2))</f>
        <v>-0.1</v>
      </c>
      <c r="L173" s="22">
        <f>IF($B173&gt;K$91,ROUND(($B173-K$91)*L$90,2),0)</f>
        <v>0</v>
      </c>
      <c r="M173" s="124"/>
      <c r="N173" s="23">
        <f>SUM(K173:L173)</f>
        <v>-0.1</v>
      </c>
      <c r="O173" s="124"/>
      <c r="P173" s="124"/>
      <c r="Q173" s="124"/>
      <c r="R173" s="21"/>
      <c r="S173" s="23">
        <f>ROUND($B173*S$90*S172,2)</f>
        <v>0</v>
      </c>
      <c r="T173" s="23">
        <f>ROUND($B173*T$90,2)</f>
        <v>0</v>
      </c>
      <c r="U173" s="23">
        <f>ROUND($B173*U$90,2)</f>
        <v>0</v>
      </c>
      <c r="V173" s="24">
        <f>ROUND($B173*V$89,2)</f>
        <v>0</v>
      </c>
      <c r="W173" s="124"/>
      <c r="X173" s="23">
        <f>ROUND($B173*X$90,2)</f>
        <v>0</v>
      </c>
      <c r="Y173" s="23">
        <f>ROUND($B173*Y$90,2)</f>
        <v>0</v>
      </c>
      <c r="Z173" s="23">
        <f>ROUND($B173*Z$90,2)</f>
        <v>0</v>
      </c>
      <c r="AA173" s="23">
        <f>ROUND($B173*AA$90,2)</f>
        <v>0</v>
      </c>
      <c r="AB173" s="25">
        <f>SUM(U$90:AA$90)+(-V$90+V135)</f>
        <v>4.548E-3</v>
      </c>
      <c r="AC173" s="124"/>
      <c r="AE173" s="118"/>
      <c r="AG173" s="118"/>
      <c r="AI173" s="118"/>
      <c r="AK173" s="118"/>
      <c r="AM173" s="118"/>
      <c r="AO173" s="118"/>
      <c r="AQ173" s="118"/>
      <c r="AS173" s="118"/>
      <c r="AU173" s="118"/>
      <c r="AW173" s="118"/>
      <c r="AY173" s="118"/>
      <c r="BA173" s="118"/>
      <c r="BC173" s="118"/>
      <c r="BE173" s="118"/>
      <c r="BG173" s="118"/>
      <c r="BI173" s="118"/>
      <c r="BK173" s="118"/>
      <c r="BM173" s="118"/>
      <c r="BO173" s="118"/>
      <c r="BQ173" s="118"/>
      <c r="BS173" s="118"/>
      <c r="BU173" s="118"/>
      <c r="BW173" s="118"/>
      <c r="BY173" s="118"/>
      <c r="CA173" s="118"/>
      <c r="CC173" s="118"/>
      <c r="CE173" s="118"/>
      <c r="CG173" s="118"/>
      <c r="CI173" s="118"/>
      <c r="CK173" s="118"/>
      <c r="CM173" s="118"/>
      <c r="CO173" s="118"/>
      <c r="CQ173" s="118"/>
      <c r="CS173" s="118"/>
      <c r="CU173" s="118"/>
      <c r="CW173" s="118"/>
      <c r="CY173" s="118"/>
      <c r="DA173" s="118"/>
      <c r="DC173" s="118"/>
      <c r="DE173" s="118"/>
      <c r="DG173" s="118"/>
      <c r="DI173" s="118"/>
      <c r="DK173" s="118"/>
      <c r="DM173" s="118"/>
      <c r="DO173" s="118"/>
      <c r="DQ173" s="118"/>
      <c r="DS173" s="118"/>
    </row>
    <row r="174" spans="1:123" ht="13" x14ac:dyDescent="0.3">
      <c r="B174" s="128">
        <v>-1</v>
      </c>
      <c r="C174" s="57"/>
      <c r="D174" s="118"/>
      <c r="F174" s="37"/>
      <c r="G174" s="17"/>
      <c r="H174" s="19"/>
      <c r="I174" s="118"/>
      <c r="J174" s="101"/>
      <c r="K174" s="101"/>
      <c r="L174" s="101"/>
      <c r="M174" s="118"/>
      <c r="N174" s="17"/>
      <c r="O174" s="118"/>
      <c r="P174" s="118"/>
      <c r="Q174" s="118"/>
      <c r="S174" s="43"/>
      <c r="T174" s="43"/>
      <c r="U174" s="43"/>
      <c r="V174" s="42"/>
      <c r="W174" s="118"/>
      <c r="X174" s="43"/>
      <c r="Y174" s="43"/>
      <c r="Z174" s="43"/>
      <c r="AA174" s="43"/>
      <c r="AB174" s="19"/>
      <c r="AC174" s="118"/>
      <c r="AE174" s="118"/>
      <c r="AG174" s="118"/>
      <c r="AI174" s="118"/>
      <c r="AK174" s="118"/>
      <c r="AM174" s="118"/>
      <c r="AO174" s="118"/>
      <c r="AQ174" s="118"/>
      <c r="AS174" s="118"/>
      <c r="AU174" s="118"/>
      <c r="AW174" s="118"/>
      <c r="AY174" s="118"/>
      <c r="BA174" s="118"/>
      <c r="BC174" s="118"/>
      <c r="BE174" s="118"/>
      <c r="BG174" s="118"/>
      <c r="BI174" s="118"/>
      <c r="BK174" s="118"/>
      <c r="BM174" s="118"/>
      <c r="BO174" s="118"/>
      <c r="BQ174" s="118"/>
      <c r="BS174" s="118"/>
      <c r="BU174" s="118"/>
      <c r="BW174" s="118"/>
      <c r="BY174" s="118"/>
      <c r="CA174" s="118"/>
      <c r="CC174" s="118"/>
      <c r="CE174" s="118"/>
      <c r="CG174" s="118"/>
      <c r="CI174" s="118"/>
      <c r="CK174" s="118"/>
      <c r="CM174" s="118"/>
      <c r="CO174" s="118"/>
      <c r="CQ174" s="118"/>
      <c r="CS174" s="118"/>
      <c r="CU174" s="118"/>
      <c r="CW174" s="118"/>
      <c r="CY174" s="118"/>
      <c r="DA174" s="118"/>
      <c r="DC174" s="118"/>
      <c r="DE174" s="118"/>
      <c r="DG174" s="118"/>
      <c r="DI174" s="118"/>
      <c r="DK174" s="118"/>
      <c r="DM174" s="118"/>
      <c r="DO174" s="118"/>
      <c r="DQ174" s="118"/>
      <c r="DS174" s="118"/>
    </row>
    <row r="175" spans="1:123" ht="13" x14ac:dyDescent="0.3">
      <c r="B175" s="128">
        <v>-1</v>
      </c>
      <c r="C175" s="96"/>
      <c r="F175" s="37"/>
      <c r="G175" s="43"/>
      <c r="H175" s="19"/>
      <c r="I175" s="19"/>
      <c r="J175" s="101"/>
      <c r="K175" s="101"/>
      <c r="L175" s="101"/>
      <c r="M175" s="42"/>
      <c r="N175" s="42"/>
      <c r="O175" s="42"/>
      <c r="P175" s="42"/>
      <c r="Q175" s="42"/>
      <c r="R175" s="42"/>
      <c r="S175" s="43"/>
      <c r="T175" s="43"/>
      <c r="U175" s="43"/>
      <c r="V175" s="42"/>
      <c r="W175" s="43"/>
      <c r="X175" s="43"/>
      <c r="Y175" s="43"/>
      <c r="Z175" s="43"/>
      <c r="AA175" s="43"/>
      <c r="AB175" s="19"/>
      <c r="AC175" s="115"/>
    </row>
    <row r="176" spans="1:123" ht="13" x14ac:dyDescent="0.3">
      <c r="B176" s="111">
        <v>-1</v>
      </c>
      <c r="C176" s="9"/>
      <c r="F176" s="37"/>
      <c r="G176" s="17"/>
      <c r="H176" s="19"/>
      <c r="I176" s="19"/>
      <c r="J176" s="16"/>
      <c r="K176" s="16"/>
      <c r="L176" s="16"/>
      <c r="M176" s="8"/>
      <c r="N176" s="8"/>
      <c r="O176" s="8"/>
      <c r="P176" s="8"/>
      <c r="Q176" s="8"/>
      <c r="R176" s="8"/>
      <c r="S176" s="17"/>
      <c r="T176" s="17"/>
      <c r="U176" s="17"/>
      <c r="V176" s="27">
        <f>+T9</f>
        <v>0</v>
      </c>
      <c r="W176" s="6" t="s">
        <v>94</v>
      </c>
      <c r="X176" s="17"/>
      <c r="Y176" s="17"/>
      <c r="Z176" s="17"/>
      <c r="AA176" s="17"/>
      <c r="AB176" s="19" t="e">
        <f>+AB$185-V$185+#REF!</f>
        <v>#REF!</v>
      </c>
    </row>
    <row r="177" spans="1:29" x14ac:dyDescent="0.25">
      <c r="B177" s="111">
        <v>-1</v>
      </c>
      <c r="C177" s="9"/>
      <c r="H177" s="19"/>
      <c r="I177" s="19"/>
      <c r="J177" s="16"/>
      <c r="K177" s="16"/>
      <c r="L177" s="16"/>
      <c r="M177" s="8"/>
      <c r="N177" s="8"/>
      <c r="O177" s="8"/>
      <c r="P177" s="8"/>
      <c r="Q177" s="8"/>
      <c r="R177" s="8"/>
      <c r="S177" s="17"/>
      <c r="T177" s="17"/>
      <c r="U177" s="17"/>
      <c r="V177" s="27">
        <f>+T11</f>
        <v>0</v>
      </c>
      <c r="W177" s="6" t="s">
        <v>100</v>
      </c>
      <c r="X177" s="17"/>
      <c r="Y177" s="17"/>
      <c r="Z177" s="17"/>
      <c r="AA177" s="17"/>
      <c r="AB177" s="19">
        <f>+AB$185-V$185+V176</f>
        <v>4.2679999999999992E-3</v>
      </c>
    </row>
    <row r="178" spans="1:29" x14ac:dyDescent="0.25">
      <c r="B178" s="111">
        <v>-1</v>
      </c>
      <c r="C178" s="9"/>
      <c r="H178" s="19"/>
      <c r="I178" s="19"/>
      <c r="J178" s="16"/>
      <c r="K178" s="16"/>
      <c r="L178" s="16"/>
      <c r="M178" s="8"/>
      <c r="N178" s="8"/>
      <c r="O178" s="8"/>
      <c r="P178" s="8"/>
      <c r="Q178" s="8"/>
      <c r="R178" s="8"/>
      <c r="S178" s="17"/>
      <c r="T178" s="17"/>
      <c r="U178" s="17"/>
      <c r="V178" s="27">
        <f>+T13</f>
        <v>0</v>
      </c>
      <c r="W178" s="6" t="s">
        <v>114</v>
      </c>
      <c r="X178" s="17"/>
      <c r="Y178" s="17"/>
      <c r="Z178" s="17"/>
      <c r="AA178" s="17"/>
      <c r="AB178" s="19">
        <f>+AB$185-V$185+V177</f>
        <v>4.2679999999999992E-3</v>
      </c>
    </row>
    <row r="179" spans="1:29" x14ac:dyDescent="0.25">
      <c r="B179" s="111">
        <v>-1</v>
      </c>
      <c r="C179" s="9"/>
      <c r="H179" s="19"/>
      <c r="I179" s="19"/>
      <c r="J179" s="16"/>
      <c r="K179" s="16"/>
      <c r="L179" s="16"/>
      <c r="M179" s="8"/>
      <c r="N179" s="8"/>
      <c r="O179" s="8"/>
      <c r="P179" s="8"/>
      <c r="Q179" s="8"/>
      <c r="R179" s="8"/>
      <c r="S179" s="17"/>
      <c r="T179" s="17"/>
      <c r="U179" s="17"/>
      <c r="V179" s="27">
        <f>T15</f>
        <v>1.9999999999999999E-6</v>
      </c>
      <c r="W179" s="6" t="s">
        <v>121</v>
      </c>
      <c r="X179" s="17"/>
      <c r="Y179" s="17"/>
      <c r="Z179" s="17"/>
      <c r="AA179" s="17"/>
      <c r="AB179" s="19"/>
    </row>
    <row r="180" spans="1:29" x14ac:dyDescent="0.25">
      <c r="B180" s="111">
        <v>-1</v>
      </c>
      <c r="C180" s="9"/>
      <c r="H180" s="19"/>
      <c r="I180" s="19"/>
      <c r="J180" s="16"/>
      <c r="K180" s="16"/>
      <c r="L180" s="16"/>
      <c r="M180" s="8"/>
      <c r="N180" s="8"/>
      <c r="O180" s="8"/>
      <c r="P180" s="8"/>
      <c r="Q180" s="8"/>
      <c r="R180" s="8"/>
      <c r="S180" s="17"/>
      <c r="T180" s="17"/>
      <c r="U180" s="17"/>
      <c r="V180" s="27">
        <f>$T$18</f>
        <v>3.19E-4</v>
      </c>
      <c r="W180" s="6" t="s">
        <v>140</v>
      </c>
      <c r="X180" s="17"/>
      <c r="Y180" s="17"/>
      <c r="Z180" s="17"/>
      <c r="AA180" s="17"/>
      <c r="AB180" s="19"/>
    </row>
    <row r="181" spans="1:29" x14ac:dyDescent="0.25">
      <c r="B181" s="111">
        <v>-1</v>
      </c>
      <c r="C181" s="9"/>
      <c r="H181" s="19"/>
      <c r="I181" s="19"/>
      <c r="J181" s="16"/>
      <c r="K181" s="16"/>
      <c r="L181" s="16"/>
      <c r="M181" s="8"/>
      <c r="N181" s="8"/>
      <c r="O181" s="8"/>
      <c r="P181" s="8"/>
      <c r="Q181" s="8"/>
      <c r="R181" s="8"/>
      <c r="S181" s="17"/>
      <c r="T181" s="17"/>
      <c r="U181" s="17"/>
      <c r="V181" s="27">
        <f>$T$20</f>
        <v>3.3799999999999998E-4</v>
      </c>
      <c r="W181" s="6" t="s">
        <v>93</v>
      </c>
      <c r="X181" s="17"/>
      <c r="Y181" s="17"/>
      <c r="Z181" s="17"/>
      <c r="AA181" s="17"/>
      <c r="AB181" s="19"/>
    </row>
    <row r="182" spans="1:29" x14ac:dyDescent="0.25">
      <c r="B182" s="111">
        <v>-1</v>
      </c>
      <c r="C182" s="9"/>
      <c r="H182" s="19"/>
      <c r="I182" s="19"/>
      <c r="J182" s="16"/>
      <c r="K182" s="16"/>
      <c r="L182" s="16"/>
      <c r="M182" s="8"/>
      <c r="N182" s="8"/>
      <c r="O182" s="8"/>
      <c r="P182" s="8"/>
      <c r="Q182" s="8"/>
      <c r="R182" s="8"/>
      <c r="S182" s="17"/>
      <c r="T182" s="17"/>
      <c r="U182" s="17"/>
      <c r="V182" s="27">
        <f>$T$22</f>
        <v>1.604E-3</v>
      </c>
      <c r="W182" s="6" t="s">
        <v>164</v>
      </c>
      <c r="X182" s="17"/>
      <c r="Y182" s="17"/>
      <c r="Z182" s="17"/>
      <c r="AA182" s="17"/>
      <c r="AB182" s="19"/>
    </row>
    <row r="183" spans="1:29" x14ac:dyDescent="0.25">
      <c r="B183" s="111">
        <v>-1</v>
      </c>
      <c r="C183" s="9"/>
      <c r="H183" s="19"/>
      <c r="I183" s="19"/>
      <c r="J183" s="16"/>
      <c r="K183" s="16"/>
      <c r="L183" s="16"/>
      <c r="M183" s="8"/>
      <c r="N183" s="8"/>
      <c r="O183" s="8"/>
      <c r="P183" s="8"/>
      <c r="Q183" s="8"/>
      <c r="R183" s="8"/>
      <c r="S183" s="17"/>
      <c r="T183" s="17"/>
      <c r="U183" s="17"/>
      <c r="V183" s="27">
        <f>$T$24</f>
        <v>0</v>
      </c>
      <c r="W183" s="6" t="s">
        <v>177</v>
      </c>
      <c r="X183" s="17"/>
      <c r="Y183" s="17"/>
      <c r="Z183" s="17"/>
      <c r="AA183" s="17"/>
      <c r="AB183" s="19"/>
    </row>
    <row r="184" spans="1:29" x14ac:dyDescent="0.25">
      <c r="B184" s="111">
        <v>-1</v>
      </c>
      <c r="C184" s="9"/>
      <c r="H184" s="19"/>
      <c r="I184" s="19"/>
      <c r="J184" s="16"/>
      <c r="K184" s="16"/>
      <c r="L184" s="16"/>
      <c r="M184" s="8"/>
      <c r="N184" s="8"/>
      <c r="O184" s="8"/>
      <c r="P184" s="8"/>
      <c r="Q184" s="8"/>
      <c r="R184" s="8"/>
      <c r="S184" s="17"/>
      <c r="T184" s="17"/>
      <c r="U184" s="17"/>
      <c r="V184" s="19">
        <f>T26</f>
        <v>3.2720000000000002E-3</v>
      </c>
      <c r="W184" s="6" t="s">
        <v>294</v>
      </c>
      <c r="X184" s="17"/>
      <c r="Y184" s="17"/>
      <c r="Z184" s="17"/>
      <c r="AA184" s="17"/>
      <c r="AB184" s="19"/>
    </row>
    <row r="185" spans="1:29" x14ac:dyDescent="0.25">
      <c r="B185" s="111">
        <v>-1</v>
      </c>
      <c r="C185" s="4"/>
      <c r="F185" s="8"/>
      <c r="I185" s="19"/>
      <c r="J185" s="89">
        <v>54.18</v>
      </c>
      <c r="K185" s="88">
        <v>9.4917000000000001E-2</v>
      </c>
      <c r="L185" s="5"/>
      <c r="M185" s="5"/>
      <c r="N185" s="5"/>
      <c r="O185" s="5"/>
      <c r="P185" s="5"/>
      <c r="Q185" s="73" t="s">
        <v>175</v>
      </c>
      <c r="R185" s="5"/>
      <c r="S185" s="27">
        <f>+M$4</f>
        <v>3.0000000000000001E-3</v>
      </c>
      <c r="T185" s="27">
        <f t="shared" ref="T185:AA185" si="15">+R$4</f>
        <v>-3.1020000000000002E-3</v>
      </c>
      <c r="U185" s="27">
        <f>+S$4</f>
        <v>3.0219999999999999E-3</v>
      </c>
      <c r="V185" s="27">
        <f t="shared" si="15"/>
        <v>7.5160000000000001E-3</v>
      </c>
      <c r="W185" s="27">
        <f t="shared" si="15"/>
        <v>0</v>
      </c>
      <c r="X185" s="27">
        <f t="shared" si="15"/>
        <v>6.9700000000000003E-4</v>
      </c>
      <c r="Y185" s="27">
        <f t="shared" si="15"/>
        <v>1.807E-3</v>
      </c>
      <c r="Z185" s="27">
        <f t="shared" si="15"/>
        <v>-1.258E-3</v>
      </c>
      <c r="AA185" s="27">
        <f t="shared" si="15"/>
        <v>2.7999999999999998E-4</v>
      </c>
      <c r="AB185" s="19">
        <f>SUM(U185:Z185)</f>
        <v>1.1783999999999999E-2</v>
      </c>
    </row>
    <row r="186" spans="1:29" x14ac:dyDescent="0.25">
      <c r="A186" s="1"/>
      <c r="B186" s="111">
        <v>-1</v>
      </c>
      <c r="F186" s="8"/>
      <c r="I186" s="19"/>
      <c r="J186" s="85"/>
      <c r="K186" s="85">
        <v>999999</v>
      </c>
    </row>
    <row r="187" spans="1:29" x14ac:dyDescent="0.25">
      <c r="B187" s="111">
        <v>-1</v>
      </c>
      <c r="F187" s="12"/>
      <c r="I187" s="19"/>
      <c r="J187" s="12" t="s">
        <v>1</v>
      </c>
      <c r="K187" s="256" t="s">
        <v>2</v>
      </c>
      <c r="L187" s="256"/>
      <c r="M187" s="12"/>
      <c r="N187" s="12"/>
      <c r="O187" s="12"/>
      <c r="P187" s="12"/>
      <c r="Q187" s="12"/>
      <c r="R187" s="12"/>
      <c r="S187" s="12">
        <v>21</v>
      </c>
      <c r="T187" s="12">
        <v>6</v>
      </c>
      <c r="U187" s="12">
        <v>3</v>
      </c>
      <c r="V187" s="12">
        <v>22</v>
      </c>
      <c r="W187" s="12">
        <v>13</v>
      </c>
      <c r="X187" s="12">
        <v>20</v>
      </c>
      <c r="Y187" s="12">
        <v>24</v>
      </c>
      <c r="Z187" s="12">
        <v>25</v>
      </c>
      <c r="AA187" s="12">
        <v>26</v>
      </c>
    </row>
    <row r="188" spans="1:29" x14ac:dyDescent="0.25">
      <c r="A188" s="13"/>
      <c r="B188" s="111">
        <v>-1</v>
      </c>
      <c r="C188" s="14"/>
      <c r="D188" s="15"/>
      <c r="F188" s="13" t="s">
        <v>4</v>
      </c>
      <c r="G188" s="13" t="s">
        <v>12</v>
      </c>
      <c r="H188" s="13" t="s">
        <v>13</v>
      </c>
      <c r="I188" s="19"/>
      <c r="J188" s="13" t="s">
        <v>5</v>
      </c>
      <c r="K188" s="13" t="s">
        <v>23</v>
      </c>
      <c r="L188" s="13"/>
      <c r="M188" s="13"/>
      <c r="N188" s="73" t="s">
        <v>176</v>
      </c>
      <c r="O188" s="13"/>
      <c r="P188" s="13"/>
      <c r="Q188" s="13"/>
      <c r="R188" s="13"/>
      <c r="S188" s="13" t="s">
        <v>70</v>
      </c>
      <c r="T188" s="13" t="s">
        <v>9</v>
      </c>
      <c r="U188" s="80" t="s">
        <v>161</v>
      </c>
      <c r="V188" s="13" t="s">
        <v>79</v>
      </c>
      <c r="W188" s="13" t="s">
        <v>10</v>
      </c>
      <c r="X188" s="13" t="s">
        <v>11</v>
      </c>
      <c r="Y188" s="80" t="s">
        <v>104</v>
      </c>
      <c r="Z188" s="80" t="s">
        <v>105</v>
      </c>
      <c r="AA188" s="80" t="s">
        <v>106</v>
      </c>
      <c r="AB188" s="77" t="s">
        <v>71</v>
      </c>
    </row>
    <row r="189" spans="1:29" ht="13" x14ac:dyDescent="0.3">
      <c r="B189" s="111">
        <v>-1</v>
      </c>
      <c r="C189" s="9"/>
      <c r="F189" s="37"/>
      <c r="G189" s="17"/>
      <c r="H189" s="19"/>
      <c r="I189" s="19"/>
      <c r="J189" s="16"/>
      <c r="K189" s="16"/>
      <c r="L189" s="16"/>
      <c r="M189" s="8"/>
      <c r="N189" s="8"/>
      <c r="O189" s="8"/>
      <c r="P189" s="8"/>
      <c r="Q189" s="8"/>
      <c r="R189" s="8"/>
      <c r="S189" s="51">
        <v>0</v>
      </c>
      <c r="T189" s="17"/>
      <c r="U189" s="17"/>
      <c r="V189" s="17"/>
      <c r="W189" s="17"/>
      <c r="X189" s="17"/>
      <c r="Y189" s="17"/>
      <c r="Z189" s="17"/>
      <c r="AA189" s="17"/>
    </row>
    <row r="190" spans="1:29" ht="13" x14ac:dyDescent="0.3">
      <c r="B190" s="111">
        <f>IF(AND('AES Indiana Sep 23 Bill Calc.'!$D$17="SH",'AES Indiana Sep 23 Bill Calc.'!$D$18="No",'AES Indiana Sep 23 Bill Calc.'!$D$20="No"),'AES Indiana Sep 23 Bill Calc.'!$D$19,-1)</f>
        <v>-1</v>
      </c>
      <c r="C190" s="57" t="s">
        <v>172</v>
      </c>
      <c r="F190" s="37" t="s">
        <v>24</v>
      </c>
      <c r="G190" s="17">
        <f>SUM(J190:M190,O190:P190,R190:AA190)</f>
        <v>54.08</v>
      </c>
      <c r="H190" s="19" t="e">
        <f>IF(ISBLANK(B190),0,+#REF!/B190)</f>
        <v>#REF!</v>
      </c>
      <c r="I190" s="19"/>
      <c r="J190" s="16">
        <f>IF(ISBLANK(B190),0,+J$185)</f>
        <v>54.18</v>
      </c>
      <c r="K190" s="16">
        <f>ROUND($B190*K$185,2)</f>
        <v>-0.09</v>
      </c>
      <c r="L190" s="16"/>
      <c r="M190" s="8"/>
      <c r="N190" s="17">
        <f>SUM(K190:L190)</f>
        <v>-0.09</v>
      </c>
      <c r="O190" s="8"/>
      <c r="P190" s="8"/>
      <c r="Q190" s="8"/>
      <c r="R190" s="8"/>
      <c r="S190" s="17">
        <f>ROUND($B190*S$185*S189,2)</f>
        <v>0</v>
      </c>
      <c r="T190" s="17">
        <f t="shared" ref="T190:AA190" si="16">ROUND($B190*T$185,2)</f>
        <v>0</v>
      </c>
      <c r="U190" s="17">
        <f t="shared" si="16"/>
        <v>0</v>
      </c>
      <c r="V190" s="17">
        <f t="shared" si="16"/>
        <v>-0.01</v>
      </c>
      <c r="W190" s="17">
        <f t="shared" si="16"/>
        <v>0</v>
      </c>
      <c r="X190" s="17">
        <f t="shared" si="16"/>
        <v>0</v>
      </c>
      <c r="Y190" s="17">
        <f t="shared" si="16"/>
        <v>0</v>
      </c>
      <c r="Z190" s="17">
        <f t="shared" si="16"/>
        <v>0</v>
      </c>
      <c r="AA190" s="17">
        <f t="shared" si="16"/>
        <v>0</v>
      </c>
      <c r="AB190" s="19">
        <f>SUM(U185:AA185)</f>
        <v>1.2064E-2</v>
      </c>
      <c r="AC190" s="78" t="str">
        <f>+F190</f>
        <v>SH</v>
      </c>
    </row>
    <row r="191" spans="1:29" ht="13" x14ac:dyDescent="0.3">
      <c r="B191" s="111">
        <v>-1</v>
      </c>
      <c r="C191" s="9"/>
      <c r="F191" s="37"/>
      <c r="G191" s="17"/>
      <c r="H191" s="19"/>
      <c r="I191" s="19"/>
      <c r="J191" s="16"/>
      <c r="K191" s="16"/>
      <c r="L191" s="16"/>
      <c r="M191" s="8"/>
      <c r="N191" s="8"/>
      <c r="O191" s="8"/>
      <c r="P191" s="8"/>
      <c r="Q191" s="8"/>
      <c r="R191" s="8"/>
      <c r="S191" s="51">
        <v>1</v>
      </c>
      <c r="T191" s="17"/>
      <c r="U191" s="17"/>
      <c r="V191" s="17"/>
      <c r="W191" s="17"/>
      <c r="X191" s="17"/>
      <c r="Y191" s="17"/>
      <c r="Z191" s="17"/>
      <c r="AA191" s="17"/>
    </row>
    <row r="192" spans="1:29" ht="13" x14ac:dyDescent="0.3">
      <c r="B192" s="111">
        <f>IF(AND('AES Indiana Sep 23 Bill Calc.'!$D$17="SH",'AES Indiana Sep 23 Bill Calc.'!$D$18="Yes 100%",'AES Indiana Sep 23 Bill Calc.'!$D$20="No"),'AES Indiana Sep 23 Bill Calc.'!$D$19,-1)</f>
        <v>-1</v>
      </c>
      <c r="C192" s="1" t="s">
        <v>73</v>
      </c>
      <c r="F192" s="37" t="s">
        <v>24</v>
      </c>
      <c r="G192" s="17">
        <f>SUM(J192:M192,O192:P192,R192:AA192)</f>
        <v>54.08</v>
      </c>
      <c r="H192" s="19" t="e">
        <f>IF(ISBLANK(B192),0,+#REF!/B192)</f>
        <v>#REF!</v>
      </c>
      <c r="I192" s="19"/>
      <c r="J192" s="16">
        <f>IF(ISBLANK(B192),0,+J$185)</f>
        <v>54.18</v>
      </c>
      <c r="K192" s="16">
        <f>ROUND($B192*K$185,2)</f>
        <v>-0.09</v>
      </c>
      <c r="L192" s="16"/>
      <c r="M192" s="8"/>
      <c r="N192" s="17">
        <f>SUM(K192:L192)</f>
        <v>-0.09</v>
      </c>
      <c r="O192" s="8"/>
      <c r="P192" s="8"/>
      <c r="Q192" s="8"/>
      <c r="R192" s="8"/>
      <c r="S192" s="17">
        <f>ROUND($B192*S$185*S191,2)</f>
        <v>0</v>
      </c>
      <c r="T192" s="17">
        <f t="shared" ref="T192:AA192" si="17">ROUND($B192*T$185,2)</f>
        <v>0</v>
      </c>
      <c r="U192" s="17">
        <f t="shared" si="17"/>
        <v>0</v>
      </c>
      <c r="V192" s="17">
        <f t="shared" si="17"/>
        <v>-0.01</v>
      </c>
      <c r="W192" s="17">
        <f t="shared" si="17"/>
        <v>0</v>
      </c>
      <c r="X192" s="17">
        <f t="shared" si="17"/>
        <v>0</v>
      </c>
      <c r="Y192" s="17">
        <f t="shared" si="17"/>
        <v>0</v>
      </c>
      <c r="Z192" s="17">
        <f t="shared" si="17"/>
        <v>0</v>
      </c>
      <c r="AA192" s="17">
        <f t="shared" si="17"/>
        <v>0</v>
      </c>
      <c r="AB192" s="19">
        <f>SUM(U$185:AA$185)</f>
        <v>1.2064E-2</v>
      </c>
      <c r="AC192" s="78" t="str">
        <f>+F192</f>
        <v>SH</v>
      </c>
    </row>
    <row r="193" spans="2:29" ht="13" x14ac:dyDescent="0.3">
      <c r="B193" s="111">
        <v>-1</v>
      </c>
      <c r="C193" s="9"/>
      <c r="F193" s="37"/>
      <c r="G193" s="17"/>
      <c r="H193" s="19"/>
      <c r="I193" s="19"/>
      <c r="J193" s="16"/>
      <c r="K193" s="16"/>
      <c r="L193" s="16"/>
      <c r="M193" s="8"/>
      <c r="N193" s="8"/>
      <c r="O193" s="8"/>
      <c r="P193" s="8"/>
      <c r="Q193" s="8"/>
      <c r="R193" s="8"/>
      <c r="S193" s="51">
        <v>0.5</v>
      </c>
      <c r="T193" s="17"/>
      <c r="U193" s="17"/>
      <c r="V193" s="17"/>
      <c r="W193" s="17"/>
      <c r="X193" s="17"/>
      <c r="Y193" s="17"/>
      <c r="Z193" s="17"/>
      <c r="AA193" s="17"/>
    </row>
    <row r="194" spans="2:29" ht="13" x14ac:dyDescent="0.3">
      <c r="B194" s="111">
        <f>IF(AND('AES Indiana Sep 23 Bill Calc.'!$D$17="SH",'AES Indiana Sep 23 Bill Calc.'!$D$18="Yes 50%",'AES Indiana Sep 23 Bill Calc.'!$D$20="No"),'AES Indiana Sep 23 Bill Calc.'!$D$19,-1)</f>
        <v>-1</v>
      </c>
      <c r="C194" s="57" t="s">
        <v>171</v>
      </c>
      <c r="F194" s="37" t="s">
        <v>24</v>
      </c>
      <c r="G194" s="17">
        <f>SUM(J194:M194,O194:P194,R194:AA194)</f>
        <v>54.08</v>
      </c>
      <c r="H194" s="19" t="e">
        <f>IF(ISBLANK(B194),0,+#REF!/B194)</f>
        <v>#REF!</v>
      </c>
      <c r="I194" s="19"/>
      <c r="J194" s="16">
        <f>IF(ISBLANK(B194),0,+J$185)</f>
        <v>54.18</v>
      </c>
      <c r="K194" s="16">
        <f>ROUND($B194*K$185,2)</f>
        <v>-0.09</v>
      </c>
      <c r="L194" s="16"/>
      <c r="M194" s="8"/>
      <c r="N194" s="17">
        <f>SUM(K194:L194)</f>
        <v>-0.09</v>
      </c>
      <c r="O194" s="8"/>
      <c r="P194" s="8"/>
      <c r="Q194" s="8"/>
      <c r="R194" s="8"/>
      <c r="S194" s="17">
        <f>ROUND($B194*S$185*S193,2)</f>
        <v>0</v>
      </c>
      <c r="T194" s="17">
        <f t="shared" ref="T194:AA194" si="18">ROUND($B194*T$185,2)</f>
        <v>0</v>
      </c>
      <c r="U194" s="17">
        <f t="shared" si="18"/>
        <v>0</v>
      </c>
      <c r="V194" s="17">
        <f t="shared" si="18"/>
        <v>-0.01</v>
      </c>
      <c r="W194" s="17">
        <f t="shared" si="18"/>
        <v>0</v>
      </c>
      <c r="X194" s="17">
        <f t="shared" si="18"/>
        <v>0</v>
      </c>
      <c r="Y194" s="17">
        <f t="shared" si="18"/>
        <v>0</v>
      </c>
      <c r="Z194" s="17">
        <f t="shared" si="18"/>
        <v>0</v>
      </c>
      <c r="AA194" s="17">
        <f t="shared" si="18"/>
        <v>0</v>
      </c>
      <c r="AB194" s="19">
        <f>SUM(U$185:AA$185)</f>
        <v>1.2064E-2</v>
      </c>
      <c r="AC194" s="78" t="str">
        <f>+F194</f>
        <v>SH</v>
      </c>
    </row>
    <row r="195" spans="2:29" ht="13" x14ac:dyDescent="0.3">
      <c r="B195" s="111">
        <v>-1</v>
      </c>
      <c r="C195" s="9"/>
      <c r="F195" s="37"/>
      <c r="G195" s="17"/>
      <c r="H195" s="19"/>
      <c r="I195" s="19"/>
      <c r="J195" s="16"/>
      <c r="K195" s="16"/>
      <c r="L195" s="16"/>
      <c r="M195" s="8"/>
      <c r="N195" s="8"/>
      <c r="O195" s="8"/>
      <c r="P195" s="8"/>
      <c r="Q195" s="8"/>
      <c r="R195" s="8"/>
      <c r="S195" s="51">
        <v>0.25</v>
      </c>
      <c r="T195" s="17"/>
      <c r="U195" s="17"/>
      <c r="V195" s="17"/>
      <c r="W195" s="17"/>
      <c r="X195" s="17"/>
      <c r="Y195" s="17"/>
      <c r="Z195" s="17"/>
      <c r="AA195" s="17"/>
    </row>
    <row r="196" spans="2:29" ht="13" x14ac:dyDescent="0.3">
      <c r="B196" s="111">
        <f>IF(AND('AES Indiana Sep 23 Bill Calc.'!$D$17="SH",'AES Indiana Sep 23 Bill Calc.'!$D$18="Yes 25%",'AES Indiana Sep 23 Bill Calc.'!$D$20="No"),'AES Indiana Sep 23 Bill Calc.'!$D$19,-1)</f>
        <v>-1</v>
      </c>
      <c r="C196" s="57" t="s">
        <v>158</v>
      </c>
      <c r="F196" s="37" t="s">
        <v>24</v>
      </c>
      <c r="G196" s="17">
        <f>SUM(J196:M196,O196:P196,R196:AA196)</f>
        <v>54.08</v>
      </c>
      <c r="H196" s="19" t="e">
        <f>IF(ISBLANK(B196),0,+#REF!/B196)</f>
        <v>#REF!</v>
      </c>
      <c r="I196" s="19"/>
      <c r="J196" s="16">
        <f>IF(ISBLANK(B196),0,+J$185)</f>
        <v>54.18</v>
      </c>
      <c r="K196" s="16">
        <f>ROUND($B196*K$185,2)</f>
        <v>-0.09</v>
      </c>
      <c r="L196" s="16"/>
      <c r="M196" s="8"/>
      <c r="N196" s="17">
        <f>SUM(K196:L196)</f>
        <v>-0.09</v>
      </c>
      <c r="O196" s="8"/>
      <c r="P196" s="8"/>
      <c r="Q196" s="8"/>
      <c r="R196" s="8"/>
      <c r="S196" s="17">
        <f>ROUND($B196*S$185*S195,2)</f>
        <v>0</v>
      </c>
      <c r="T196" s="17">
        <f t="shared" ref="T196:AA196" si="19">ROUND($B196*T$185,2)</f>
        <v>0</v>
      </c>
      <c r="U196" s="17">
        <f t="shared" si="19"/>
        <v>0</v>
      </c>
      <c r="V196" s="17">
        <f t="shared" si="19"/>
        <v>-0.01</v>
      </c>
      <c r="W196" s="17">
        <f t="shared" si="19"/>
        <v>0</v>
      </c>
      <c r="X196" s="17">
        <f t="shared" si="19"/>
        <v>0</v>
      </c>
      <c r="Y196" s="17">
        <f t="shared" si="19"/>
        <v>0</v>
      </c>
      <c r="Z196" s="17">
        <f t="shared" si="19"/>
        <v>0</v>
      </c>
      <c r="AA196" s="17">
        <f t="shared" si="19"/>
        <v>0</v>
      </c>
      <c r="AB196" s="19">
        <f>SUM(U$185:AA$185)</f>
        <v>1.2064E-2</v>
      </c>
      <c r="AC196" s="78" t="str">
        <f>+F196</f>
        <v>SH</v>
      </c>
    </row>
    <row r="197" spans="2:29" ht="13" x14ac:dyDescent="0.3">
      <c r="B197" s="111">
        <v>-1</v>
      </c>
      <c r="C197" s="9"/>
      <c r="F197" s="37"/>
      <c r="G197" s="17"/>
      <c r="H197" s="19"/>
      <c r="I197" s="19"/>
      <c r="J197" s="16"/>
      <c r="K197" s="16"/>
      <c r="L197" s="16"/>
      <c r="M197" s="8"/>
      <c r="N197" s="8"/>
      <c r="O197" s="8"/>
      <c r="P197" s="8"/>
      <c r="Q197" s="8"/>
      <c r="R197" s="8"/>
      <c r="S197" s="51">
        <v>0.1</v>
      </c>
      <c r="T197" s="17"/>
      <c r="U197" s="17"/>
      <c r="V197" s="17"/>
      <c r="W197" s="17"/>
      <c r="X197" s="17"/>
      <c r="Y197" s="17"/>
      <c r="Z197" s="17"/>
      <c r="AA197" s="17"/>
    </row>
    <row r="198" spans="2:29" ht="13" x14ac:dyDescent="0.3">
      <c r="B198" s="111">
        <f>IF(AND('AES Indiana Sep 23 Bill Calc.'!$D$17="SH",'AES Indiana Sep 23 Bill Calc.'!$D$18="Yes 10%",'AES Indiana Sep 23 Bill Calc.'!$D$20="No"),'AES Indiana Sep 23 Bill Calc.'!$D$19,-1)</f>
        <v>-1</v>
      </c>
      <c r="C198" s="57" t="s">
        <v>173</v>
      </c>
      <c r="F198" s="37" t="s">
        <v>24</v>
      </c>
      <c r="G198" s="17">
        <f>SUM(J198:M198,O198:P198,R198:AA198)</f>
        <v>54.08</v>
      </c>
      <c r="H198" s="19" t="e">
        <f>IF(ISBLANK(B198),0,+#REF!/B198)</f>
        <v>#REF!</v>
      </c>
      <c r="I198" s="19"/>
      <c r="J198" s="16">
        <f>IF(ISBLANK(B198),0,+J$185)</f>
        <v>54.18</v>
      </c>
      <c r="K198" s="16">
        <f>ROUND($B198*K$185,2)</f>
        <v>-0.09</v>
      </c>
      <c r="L198" s="16"/>
      <c r="M198" s="8"/>
      <c r="N198" s="17">
        <f>SUM(K198:L198)</f>
        <v>-0.09</v>
      </c>
      <c r="O198" s="8"/>
      <c r="P198" s="8"/>
      <c r="Q198" s="8"/>
      <c r="R198" s="8"/>
      <c r="S198" s="17">
        <f>ROUND($B198*S$185*S197,2)</f>
        <v>0</v>
      </c>
      <c r="T198" s="17">
        <f t="shared" ref="T198:AA198" si="20">ROUND($B198*T$185,2)</f>
        <v>0</v>
      </c>
      <c r="U198" s="17">
        <f t="shared" si="20"/>
        <v>0</v>
      </c>
      <c r="V198" s="17">
        <f t="shared" si="20"/>
        <v>-0.01</v>
      </c>
      <c r="W198" s="17">
        <f t="shared" si="20"/>
        <v>0</v>
      </c>
      <c r="X198" s="17">
        <f t="shared" si="20"/>
        <v>0</v>
      </c>
      <c r="Y198" s="17">
        <f t="shared" si="20"/>
        <v>0</v>
      </c>
      <c r="Z198" s="17">
        <f t="shared" si="20"/>
        <v>0</v>
      </c>
      <c r="AA198" s="17">
        <f t="shared" si="20"/>
        <v>0</v>
      </c>
      <c r="AB198" s="19">
        <f>SUM(U$185:AA$185)</f>
        <v>1.2064E-2</v>
      </c>
      <c r="AC198" s="78" t="str">
        <f>+F198</f>
        <v>SH</v>
      </c>
    </row>
    <row r="199" spans="2:29" ht="13" x14ac:dyDescent="0.3">
      <c r="B199" s="111">
        <v>-1</v>
      </c>
      <c r="C199" s="9"/>
      <c r="F199" s="37"/>
      <c r="G199" s="17"/>
      <c r="H199" s="19"/>
      <c r="I199" s="19"/>
      <c r="J199" s="16"/>
      <c r="K199" s="16"/>
      <c r="L199" s="16"/>
      <c r="M199" s="8"/>
      <c r="N199" s="8"/>
      <c r="O199" s="8"/>
      <c r="P199" s="8"/>
      <c r="Q199" s="8"/>
      <c r="R199" s="8"/>
      <c r="S199" s="51">
        <v>1</v>
      </c>
      <c r="T199" s="17"/>
      <c r="U199" s="17"/>
      <c r="V199" s="8"/>
      <c r="W199" s="17"/>
      <c r="X199" s="17"/>
      <c r="Y199" s="17"/>
      <c r="Z199" s="17"/>
      <c r="AA199" s="17"/>
      <c r="AB199" s="19"/>
      <c r="AC199" s="78"/>
    </row>
    <row r="200" spans="2:29" ht="13" x14ac:dyDescent="0.3">
      <c r="B200" s="111">
        <f>IF(AND('AES Indiana Sep 23 Bill Calc.'!$D$17="SH",'AES Indiana Sep 23 Bill Calc.'!$D$18="Yes 100%",'AES Indiana Sep 23 Bill Calc.'!$D$20="Yes Before 2018"),'AES Indiana Sep 23 Bill Calc.'!$D$19,-1)</f>
        <v>-1</v>
      </c>
      <c r="C200" s="1" t="s">
        <v>73</v>
      </c>
      <c r="F200" s="37" t="s">
        <v>110</v>
      </c>
      <c r="G200" s="17">
        <f>SUM(J200:M200,O200:P200,R200:AA200)</f>
        <v>54.089999999999996</v>
      </c>
      <c r="H200" s="19" t="e">
        <f>IF(ISBLANK(B200),0,+#REF!/B200)</f>
        <v>#REF!</v>
      </c>
      <c r="I200" s="19"/>
      <c r="J200" s="101">
        <f>IF(ISBLANK(B200),0,+J$185)</f>
        <v>54.18</v>
      </c>
      <c r="K200" s="101">
        <f>ROUND($B200*K$185,2)</f>
        <v>-0.09</v>
      </c>
      <c r="L200" s="101"/>
      <c r="M200" s="42"/>
      <c r="N200" s="17">
        <f>SUM(K200:L200)</f>
        <v>-0.09</v>
      </c>
      <c r="O200" s="42"/>
      <c r="P200" s="42"/>
      <c r="Q200" s="42"/>
      <c r="R200" s="42"/>
      <c r="S200" s="43">
        <f>ROUND($B200*S$185*S199,2)</f>
        <v>0</v>
      </c>
      <c r="T200" s="43">
        <f>ROUND($B200*T$185,2)</f>
        <v>0</v>
      </c>
      <c r="U200" s="43">
        <f>ROUND($B200*U$185,2)</f>
        <v>0</v>
      </c>
      <c r="V200" s="42">
        <f>ROUND($B200*V$178,2)</f>
        <v>0</v>
      </c>
      <c r="W200" s="43">
        <f>ROUND($B200*W$185,2)</f>
        <v>0</v>
      </c>
      <c r="X200" s="43">
        <f>ROUND($B200*X$185,2)</f>
        <v>0</v>
      </c>
      <c r="Y200" s="43">
        <f>ROUND($B200*Y$185,2)</f>
        <v>0</v>
      </c>
      <c r="Z200" s="43">
        <f>ROUND($B200*Z$185,2)</f>
        <v>0</v>
      </c>
      <c r="AA200" s="43">
        <f>ROUND($B200*AA$185,2)</f>
        <v>0</v>
      </c>
      <c r="AB200" s="19">
        <f>SUM(U$185:AA$185)+(-V$185+V154)</f>
        <v>4.548E-3</v>
      </c>
      <c r="AC200" s="115" t="str">
        <f>+F200</f>
        <v>SH7</v>
      </c>
    </row>
    <row r="201" spans="2:29" ht="13" x14ac:dyDescent="0.3">
      <c r="B201" s="111">
        <v>-1</v>
      </c>
      <c r="C201" s="9"/>
      <c r="F201" s="37"/>
      <c r="G201" s="17"/>
      <c r="H201" s="19"/>
      <c r="I201" s="19"/>
      <c r="J201" s="16"/>
      <c r="K201" s="16"/>
      <c r="L201" s="16"/>
      <c r="M201" s="8"/>
      <c r="N201" s="8"/>
      <c r="O201" s="8"/>
      <c r="P201" s="8"/>
      <c r="Q201" s="8"/>
      <c r="R201" s="8"/>
      <c r="S201" s="51">
        <v>0.5</v>
      </c>
      <c r="T201" s="17"/>
      <c r="U201" s="17"/>
      <c r="V201" s="8"/>
      <c r="W201" s="17"/>
      <c r="X201" s="17"/>
      <c r="Y201" s="17"/>
      <c r="Z201" s="17"/>
      <c r="AA201" s="17"/>
      <c r="AB201" s="19"/>
      <c r="AC201" s="78"/>
    </row>
    <row r="202" spans="2:29" ht="13" x14ac:dyDescent="0.3">
      <c r="B202" s="111">
        <f>IF(AND('AES Indiana Sep 23 Bill Calc.'!$D$17="SH",'AES Indiana Sep 23 Bill Calc.'!$D$18="Yes 50%",'AES Indiana Sep 23 Bill Calc.'!$D$20="Yes Before 2018"),'AES Indiana Sep 23 Bill Calc.'!$D$19,-1)</f>
        <v>-1</v>
      </c>
      <c r="C202" s="57" t="s">
        <v>171</v>
      </c>
      <c r="F202" s="37" t="s">
        <v>110</v>
      </c>
      <c r="G202" s="17">
        <f>SUM(J202:M202,O202:P202,R202:AA202)</f>
        <v>54.089999999999996</v>
      </c>
      <c r="H202" s="19" t="e">
        <f>IF(ISBLANK(B202),0,+#REF!/B202)</f>
        <v>#REF!</v>
      </c>
      <c r="I202" s="19"/>
      <c r="J202" s="101">
        <f>IF(ISBLANK(B202),0,+J$185)</f>
        <v>54.18</v>
      </c>
      <c r="K202" s="101">
        <f>ROUND($B202*K$185,2)</f>
        <v>-0.09</v>
      </c>
      <c r="L202" s="101"/>
      <c r="M202" s="42"/>
      <c r="N202" s="17">
        <f>SUM(K202:L202)</f>
        <v>-0.09</v>
      </c>
      <c r="O202" s="42"/>
      <c r="P202" s="42"/>
      <c r="Q202" s="42"/>
      <c r="R202" s="42"/>
      <c r="S202" s="43">
        <f>ROUND($B202*S$185*S201,2)</f>
        <v>0</v>
      </c>
      <c r="T202" s="43">
        <f>ROUND($B202*T$185,2)</f>
        <v>0</v>
      </c>
      <c r="U202" s="43">
        <f>ROUND($B202*U$185,2)</f>
        <v>0</v>
      </c>
      <c r="V202" s="42">
        <f>ROUND($B202*V$178,2)</f>
        <v>0</v>
      </c>
      <c r="W202" s="43">
        <f>ROUND($B202*W$185,2)</f>
        <v>0</v>
      </c>
      <c r="X202" s="43">
        <f>ROUND($B202*X$185,2)</f>
        <v>0</v>
      </c>
      <c r="Y202" s="43">
        <f>ROUND($B202*Y$185,2)</f>
        <v>0</v>
      </c>
      <c r="Z202" s="43">
        <f>ROUND($B202*Z$185,2)</f>
        <v>0</v>
      </c>
      <c r="AA202" s="43">
        <f>ROUND($B202*AA$185,2)</f>
        <v>0</v>
      </c>
      <c r="AB202" s="19">
        <f>SUM(U$185:AA$185)+(-V$185+V156)</f>
        <v>4.548E-3</v>
      </c>
      <c r="AC202" s="115" t="str">
        <f>+F202</f>
        <v>SH7</v>
      </c>
    </row>
    <row r="203" spans="2:29" ht="13" x14ac:dyDescent="0.3">
      <c r="B203" s="111">
        <v>-1</v>
      </c>
      <c r="C203" s="9"/>
      <c r="F203" s="37"/>
      <c r="G203" s="17"/>
      <c r="H203" s="19"/>
      <c r="I203" s="19"/>
      <c r="J203" s="16"/>
      <c r="K203" s="16"/>
      <c r="L203" s="16"/>
      <c r="M203" s="8"/>
      <c r="N203" s="8"/>
      <c r="O203" s="8"/>
      <c r="P203" s="8"/>
      <c r="Q203" s="8"/>
      <c r="R203" s="8"/>
      <c r="S203" s="51">
        <v>0.25</v>
      </c>
      <c r="T203" s="17"/>
      <c r="U203" s="17"/>
      <c r="V203" s="8"/>
      <c r="W203" s="17"/>
      <c r="X203" s="17"/>
      <c r="Y203" s="17"/>
      <c r="Z203" s="17"/>
      <c r="AA203" s="17"/>
      <c r="AB203" s="19"/>
      <c r="AC203" s="78"/>
    </row>
    <row r="204" spans="2:29" ht="13" x14ac:dyDescent="0.3">
      <c r="B204" s="111">
        <f>IF(AND('AES Indiana Sep 23 Bill Calc.'!$D$17="SH",'AES Indiana Sep 23 Bill Calc.'!$D$18="Yes 25%",'AES Indiana Sep 23 Bill Calc.'!$D$20="Yes Before 2018"),'AES Indiana Sep 23 Bill Calc.'!$D$19,-1)</f>
        <v>-1</v>
      </c>
      <c r="C204" s="57" t="s">
        <v>158</v>
      </c>
      <c r="F204" s="37" t="s">
        <v>110</v>
      </c>
      <c r="G204" s="17">
        <f>SUM(J204:M204,O204:P204,R204:AA204)</f>
        <v>54.089999999999996</v>
      </c>
      <c r="H204" s="19" t="e">
        <f>IF(ISBLANK(B204),0,+#REF!/B204)</f>
        <v>#REF!</v>
      </c>
      <c r="I204" s="19"/>
      <c r="J204" s="101">
        <f>IF(ISBLANK(B204),0,+J$185)</f>
        <v>54.18</v>
      </c>
      <c r="K204" s="101">
        <f>ROUND($B204*K$185,2)</f>
        <v>-0.09</v>
      </c>
      <c r="L204" s="101"/>
      <c r="M204" s="42"/>
      <c r="N204" s="17">
        <f>SUM(K204:L204)</f>
        <v>-0.09</v>
      </c>
      <c r="O204" s="42"/>
      <c r="P204" s="42"/>
      <c r="Q204" s="42"/>
      <c r="R204" s="42"/>
      <c r="S204" s="43">
        <f>ROUND($B204*S$185*S203,2)</f>
        <v>0</v>
      </c>
      <c r="T204" s="43">
        <f>ROUND($B204*T$185,2)</f>
        <v>0</v>
      </c>
      <c r="U204" s="43">
        <f>ROUND($B204*U$185,2)</f>
        <v>0</v>
      </c>
      <c r="V204" s="42">
        <f>ROUND($B204*V$178,2)</f>
        <v>0</v>
      </c>
      <c r="W204" s="43">
        <f>ROUND($B204*W$185,2)</f>
        <v>0</v>
      </c>
      <c r="X204" s="43">
        <f>ROUND($B204*X$185,2)</f>
        <v>0</v>
      </c>
      <c r="Y204" s="43">
        <f>ROUND($B204*Y$185,2)</f>
        <v>0</v>
      </c>
      <c r="Z204" s="43">
        <f>ROUND($B204*Z$185,2)</f>
        <v>0</v>
      </c>
      <c r="AA204" s="43">
        <f>ROUND($B204*AA$185,2)</f>
        <v>0</v>
      </c>
      <c r="AB204" s="19">
        <f>SUM(U$185:AA$185)+(-V$185+V158)</f>
        <v>4.548E-3</v>
      </c>
      <c r="AC204" s="115" t="str">
        <f>+F204</f>
        <v>SH7</v>
      </c>
    </row>
    <row r="205" spans="2:29" ht="13" x14ac:dyDescent="0.3">
      <c r="B205" s="111">
        <v>-1</v>
      </c>
      <c r="C205" s="9"/>
      <c r="F205" s="37"/>
      <c r="G205" s="17"/>
      <c r="H205" s="19"/>
      <c r="I205" s="19"/>
      <c r="J205" s="16"/>
      <c r="K205" s="16"/>
      <c r="L205" s="16"/>
      <c r="M205" s="8"/>
      <c r="N205" s="8"/>
      <c r="O205" s="8"/>
      <c r="P205" s="8"/>
      <c r="Q205" s="8"/>
      <c r="R205" s="8"/>
      <c r="S205" s="51">
        <v>0.1</v>
      </c>
      <c r="T205" s="17"/>
      <c r="U205" s="17"/>
      <c r="V205" s="8"/>
      <c r="W205" s="17"/>
      <c r="X205" s="17"/>
      <c r="Y205" s="17"/>
      <c r="Z205" s="17"/>
      <c r="AA205" s="17"/>
      <c r="AB205" s="19"/>
      <c r="AC205" s="78"/>
    </row>
    <row r="206" spans="2:29" ht="13" x14ac:dyDescent="0.3">
      <c r="B206" s="111">
        <f>IF(AND('AES Indiana Sep 23 Bill Calc.'!$D$17="SH",'AES Indiana Sep 23 Bill Calc.'!$D$18="Yes 10%",'AES Indiana Sep 23 Bill Calc.'!$D$20="Yes Before 2018"),'AES Indiana Sep 23 Bill Calc.'!$D$19,-1)</f>
        <v>-1</v>
      </c>
      <c r="C206" s="57" t="s">
        <v>173</v>
      </c>
      <c r="F206" s="37" t="s">
        <v>110</v>
      </c>
      <c r="G206" s="17">
        <f>SUM(J206:M206,O206:P206,R206:AA206)</f>
        <v>54.089999999999996</v>
      </c>
      <c r="H206" s="19" t="e">
        <f>IF(ISBLANK(B206),0,+#REF!/B206)</f>
        <v>#REF!</v>
      </c>
      <c r="I206" s="19"/>
      <c r="J206" s="101">
        <f>IF(ISBLANK(B206),0,+J$185)</f>
        <v>54.18</v>
      </c>
      <c r="K206" s="101">
        <f>ROUND($B206*K$185,2)</f>
        <v>-0.09</v>
      </c>
      <c r="L206" s="101"/>
      <c r="M206" s="42"/>
      <c r="N206" s="17">
        <f>SUM(K206:L206)</f>
        <v>-0.09</v>
      </c>
      <c r="O206" s="42"/>
      <c r="P206" s="42"/>
      <c r="Q206" s="42"/>
      <c r="R206" s="42"/>
      <c r="S206" s="43">
        <f>ROUND($B206*S$185*S205,2)</f>
        <v>0</v>
      </c>
      <c r="T206" s="43">
        <f>ROUND($B206*T$185,2)</f>
        <v>0</v>
      </c>
      <c r="U206" s="43">
        <f>ROUND($B206*U$185,2)</f>
        <v>0</v>
      </c>
      <c r="V206" s="42">
        <f>ROUND($B206*V$178,2)</f>
        <v>0</v>
      </c>
      <c r="W206" s="43">
        <f>ROUND($B206*W$185,2)</f>
        <v>0</v>
      </c>
      <c r="X206" s="43">
        <f>ROUND($B206*X$185,2)</f>
        <v>0</v>
      </c>
      <c r="Y206" s="43">
        <f>ROUND($B206*Y$185,2)</f>
        <v>0</v>
      </c>
      <c r="Z206" s="43">
        <f>ROUND($B206*Z$185,2)</f>
        <v>0</v>
      </c>
      <c r="AA206" s="43">
        <f>ROUND($B206*AA$185,2)</f>
        <v>0</v>
      </c>
      <c r="AB206" s="19">
        <f>SUM(U$185:AA$185)+(-V$185+V160)</f>
        <v>4.548E-3</v>
      </c>
      <c r="AC206" s="115" t="str">
        <f>+F206</f>
        <v>SH7</v>
      </c>
    </row>
    <row r="207" spans="2:29" ht="13" x14ac:dyDescent="0.3">
      <c r="B207" s="111">
        <v>-1</v>
      </c>
      <c r="F207" s="37"/>
      <c r="G207" s="17"/>
      <c r="H207" s="19"/>
      <c r="I207" s="19"/>
      <c r="J207" s="16"/>
      <c r="K207" s="16"/>
      <c r="L207" s="16"/>
      <c r="M207" s="8"/>
      <c r="N207" s="8"/>
      <c r="O207" s="8"/>
      <c r="P207" s="8"/>
      <c r="Q207" s="8"/>
      <c r="R207" s="8"/>
      <c r="S207" s="51">
        <v>0</v>
      </c>
      <c r="T207" s="17"/>
      <c r="U207" s="17"/>
      <c r="V207" s="8"/>
      <c r="W207" s="17"/>
      <c r="X207" s="17"/>
      <c r="Y207" s="17"/>
      <c r="Z207" s="17"/>
      <c r="AA207" s="17"/>
      <c r="AB207" s="19"/>
      <c r="AC207" s="78"/>
    </row>
    <row r="208" spans="2:29" ht="13" x14ac:dyDescent="0.3">
      <c r="B208" s="111">
        <f>IF(AND('AES Indiana Sep 23 Bill Calc.'!$D$17="SH",'AES Indiana Sep 23 Bill Calc.'!$D$18="No",'AES Indiana Sep 23 Bill Calc.'!$D$20="Yes Before 2018"),'AES Indiana Sep 23 Bill Calc.'!$D$19,-1)</f>
        <v>-1</v>
      </c>
      <c r="C208" s="57" t="s">
        <v>172</v>
      </c>
      <c r="F208" s="37" t="s">
        <v>110</v>
      </c>
      <c r="G208" s="17">
        <f>SUM(J208:M208,O208:P208,R208:AA208)</f>
        <v>54.089999999999996</v>
      </c>
      <c r="H208" s="19" t="e">
        <f>IF(ISBLANK(B208),0,+#REF!/B208)</f>
        <v>#REF!</v>
      </c>
      <c r="I208" s="19"/>
      <c r="J208" s="101">
        <f>IF(ISBLANK(B208),0,+J$185)</f>
        <v>54.18</v>
      </c>
      <c r="K208" s="101">
        <f>ROUND($B208*K$185,2)</f>
        <v>-0.09</v>
      </c>
      <c r="L208" s="101"/>
      <c r="M208" s="42"/>
      <c r="N208" s="17">
        <f>SUM(K208:L208)</f>
        <v>-0.09</v>
      </c>
      <c r="O208" s="42"/>
      <c r="P208" s="42"/>
      <c r="Q208" s="42"/>
      <c r="R208" s="42"/>
      <c r="S208" s="43">
        <f>ROUND($B208*S$185*S207,2)</f>
        <v>0</v>
      </c>
      <c r="T208" s="43">
        <f>ROUND($B208*T$185,2)</f>
        <v>0</v>
      </c>
      <c r="U208" s="43">
        <f>ROUND($B208*U$185,2)</f>
        <v>0</v>
      </c>
      <c r="V208" s="42">
        <f>ROUND($B208*V$178,2)</f>
        <v>0</v>
      </c>
      <c r="W208" s="43">
        <f>ROUND($B208*W$185,2)</f>
        <v>0</v>
      </c>
      <c r="X208" s="43">
        <f>ROUND($B208*X$185,2)</f>
        <v>0</v>
      </c>
      <c r="Y208" s="43">
        <f>ROUND($B208*Y$185,2)</f>
        <v>0</v>
      </c>
      <c r="Z208" s="43">
        <f>ROUND($B208*Z$185,2)</f>
        <v>0</v>
      </c>
      <c r="AA208" s="43">
        <f>ROUND($B208*AA$185,2)</f>
        <v>0</v>
      </c>
      <c r="AB208" s="19">
        <f>SUM(U$185:AA$185)+(-V$185+V162)</f>
        <v>4.548E-3</v>
      </c>
      <c r="AC208" s="115" t="str">
        <f>+F208</f>
        <v>SH7</v>
      </c>
    </row>
    <row r="209" spans="1:29" ht="13" x14ac:dyDescent="0.3">
      <c r="B209" s="111">
        <v>-1</v>
      </c>
      <c r="C209" s="9"/>
      <c r="F209" s="37"/>
      <c r="G209" s="17"/>
      <c r="H209" s="19"/>
      <c r="I209" s="19"/>
      <c r="J209" s="16"/>
      <c r="K209" s="16"/>
      <c r="L209" s="16"/>
      <c r="M209" s="8"/>
      <c r="N209" s="8"/>
      <c r="O209" s="8"/>
      <c r="P209" s="8"/>
      <c r="Q209" s="8"/>
      <c r="R209" s="8"/>
      <c r="S209" s="51">
        <v>1</v>
      </c>
      <c r="T209" s="17"/>
      <c r="U209" s="17"/>
      <c r="V209" s="8"/>
      <c r="W209" s="17"/>
      <c r="X209" s="17"/>
      <c r="Y209" s="17"/>
      <c r="Z209" s="17"/>
      <c r="AA209" s="17"/>
      <c r="AB209" s="19"/>
      <c r="AC209" s="78"/>
    </row>
    <row r="210" spans="1:29" ht="13" x14ac:dyDescent="0.3">
      <c r="A210" s="117"/>
      <c r="B210" s="111">
        <f>IF(AND('AES Indiana Sep 23 Bill Calc.'!$D$17="SH",'AES Indiana Sep 23 Bill Calc.'!$D$18="Yes 100%",'AES Indiana Sep 23 Bill Calc.'!$D$20="Yes 2018"),'AES Indiana Sep 23 Bill Calc.'!$D$19,-1)</f>
        <v>-1</v>
      </c>
      <c r="C210" s="1" t="s">
        <v>73</v>
      </c>
      <c r="F210" s="37" t="s">
        <v>123</v>
      </c>
      <c r="G210" s="17">
        <f>SUM(J210:M210,O210:P210,R210:AA210)</f>
        <v>54.089999999999996</v>
      </c>
      <c r="H210" s="19" t="e">
        <f>IF(ISBLANK(B210),0,+#REF!/B210)</f>
        <v>#REF!</v>
      </c>
      <c r="I210" s="19"/>
      <c r="J210" s="101">
        <f>IF(ISBLANK(B210),0,+J$185)</f>
        <v>54.18</v>
      </c>
      <c r="K210" s="101">
        <f>ROUND($B210*K$185,2)</f>
        <v>-0.09</v>
      </c>
      <c r="L210" s="101"/>
      <c r="M210" s="42"/>
      <c r="N210" s="17">
        <f>SUM(K210:L210)</f>
        <v>-0.09</v>
      </c>
      <c r="O210" s="42"/>
      <c r="P210" s="42"/>
      <c r="Q210" s="42"/>
      <c r="R210" s="42"/>
      <c r="S210" s="43">
        <f>ROUND($B210*S$185*S209,2)</f>
        <v>0</v>
      </c>
      <c r="T210" s="43">
        <f>ROUND($B210*T$185,2)</f>
        <v>0</v>
      </c>
      <c r="U210" s="43">
        <f>ROUND($B210*U$185,2)</f>
        <v>0</v>
      </c>
      <c r="V210" s="42">
        <f>ROUND($B210*V$179,2)</f>
        <v>0</v>
      </c>
      <c r="W210" s="43">
        <f>ROUND($B210*W$185,2)</f>
        <v>0</v>
      </c>
      <c r="X210" s="43">
        <f>ROUND($B210*X$185,2)</f>
        <v>0</v>
      </c>
      <c r="Y210" s="43">
        <f>ROUND($B210*Y$185,2)</f>
        <v>0</v>
      </c>
      <c r="Z210" s="43">
        <f>ROUND($B210*Z$185,2)</f>
        <v>0</v>
      </c>
      <c r="AA210" s="43">
        <f>ROUND($B210*AA$185,2)</f>
        <v>0</v>
      </c>
      <c r="AB210" s="19">
        <f>SUM(U$185:AA$185)+(-V$185+V178)</f>
        <v>4.548E-3</v>
      </c>
      <c r="AC210" s="115" t="str">
        <f>+F210</f>
        <v>SH8</v>
      </c>
    </row>
    <row r="211" spans="1:29" ht="13" x14ac:dyDescent="0.3">
      <c r="B211" s="111">
        <v>-1</v>
      </c>
      <c r="C211" s="9"/>
      <c r="F211" s="37"/>
      <c r="G211" s="17"/>
      <c r="H211" s="19"/>
      <c r="I211" s="19"/>
      <c r="J211" s="16"/>
      <c r="K211" s="16"/>
      <c r="L211" s="16"/>
      <c r="M211" s="8"/>
      <c r="N211" s="8"/>
      <c r="O211" s="8"/>
      <c r="P211" s="8"/>
      <c r="Q211" s="8"/>
      <c r="R211" s="8"/>
      <c r="S211" s="51">
        <v>0.5</v>
      </c>
      <c r="T211" s="17"/>
      <c r="U211" s="17"/>
      <c r="V211" s="8"/>
      <c r="W211" s="17"/>
      <c r="X211" s="17"/>
      <c r="Y211" s="17"/>
      <c r="Z211" s="17"/>
      <c r="AA211" s="17"/>
      <c r="AB211" s="19"/>
      <c r="AC211" s="78"/>
    </row>
    <row r="212" spans="1:29" ht="13" x14ac:dyDescent="0.3">
      <c r="A212" s="117"/>
      <c r="B212" s="111">
        <f>IF(AND('AES Indiana Sep 23 Bill Calc.'!$D$17="SH",'AES Indiana Sep 23 Bill Calc.'!$D$18="Yes 50%",'AES Indiana Sep 23 Bill Calc.'!$D$20="Yes 2018"),'AES Indiana Sep 23 Bill Calc.'!$D$19,-1)</f>
        <v>-1</v>
      </c>
      <c r="C212" s="57" t="s">
        <v>171</v>
      </c>
      <c r="F212" s="37" t="s">
        <v>123</v>
      </c>
      <c r="G212" s="17">
        <f>SUM(J212:M212,O212:P212,R212:AA212)</f>
        <v>54.089999999999996</v>
      </c>
      <c r="H212" s="19" t="e">
        <f>IF(ISBLANK(B212),0,+#REF!/B212)</f>
        <v>#REF!</v>
      </c>
      <c r="I212" s="19"/>
      <c r="J212" s="101">
        <f>IF(ISBLANK(B212),0,+J$185)</f>
        <v>54.18</v>
      </c>
      <c r="K212" s="101">
        <f>ROUND($B212*K$185,2)</f>
        <v>-0.09</v>
      </c>
      <c r="L212" s="101"/>
      <c r="M212" s="42"/>
      <c r="N212" s="17">
        <f>SUM(K212:L212)</f>
        <v>-0.09</v>
      </c>
      <c r="O212" s="42"/>
      <c r="P212" s="42"/>
      <c r="Q212" s="42"/>
      <c r="R212" s="42"/>
      <c r="S212" s="43">
        <f>ROUND($B212*S$185*S211,2)</f>
        <v>0</v>
      </c>
      <c r="T212" s="43">
        <f>ROUND($B212*T$185,2)</f>
        <v>0</v>
      </c>
      <c r="U212" s="43">
        <f>ROUND($B212*U$185,2)</f>
        <v>0</v>
      </c>
      <c r="V212" s="42">
        <f>ROUND($B212*V$179,2)</f>
        <v>0</v>
      </c>
      <c r="W212" s="43">
        <f>ROUND($B212*W$185,2)</f>
        <v>0</v>
      </c>
      <c r="X212" s="43">
        <f>ROUND($B212*X$185,2)</f>
        <v>0</v>
      </c>
      <c r="Y212" s="43">
        <f>ROUND($B212*Y$185,2)</f>
        <v>0</v>
      </c>
      <c r="Z212" s="43">
        <f>ROUND($B212*Z$185,2)</f>
        <v>0</v>
      </c>
      <c r="AA212" s="43">
        <f>ROUND($B212*AA$185,2)</f>
        <v>0</v>
      </c>
      <c r="AB212" s="19">
        <f>SUM(U$185:AA$185)+(-V$185+V180)</f>
        <v>4.8669999999999998E-3</v>
      </c>
      <c r="AC212" s="115" t="str">
        <f>+F212</f>
        <v>SH8</v>
      </c>
    </row>
    <row r="213" spans="1:29" ht="13" x14ac:dyDescent="0.3">
      <c r="B213" s="111">
        <v>-1</v>
      </c>
      <c r="C213" s="9"/>
      <c r="F213" s="37"/>
      <c r="G213" s="17"/>
      <c r="H213" s="19"/>
      <c r="I213" s="19"/>
      <c r="J213" s="16"/>
      <c r="K213" s="16"/>
      <c r="L213" s="16"/>
      <c r="M213" s="8"/>
      <c r="N213" s="8"/>
      <c r="O213" s="8"/>
      <c r="P213" s="8"/>
      <c r="Q213" s="8"/>
      <c r="R213" s="8"/>
      <c r="S213" s="51">
        <v>0.25</v>
      </c>
      <c r="T213" s="17"/>
      <c r="U213" s="17"/>
      <c r="V213" s="8"/>
      <c r="W213" s="17"/>
      <c r="X213" s="17"/>
      <c r="Y213" s="17"/>
      <c r="Z213" s="17"/>
      <c r="AA213" s="17"/>
      <c r="AB213" s="19"/>
      <c r="AC213" s="78"/>
    </row>
    <row r="214" spans="1:29" ht="13" x14ac:dyDescent="0.3">
      <c r="A214" s="117"/>
      <c r="B214" s="111">
        <f>IF(AND('AES Indiana Sep 23 Bill Calc.'!$D$17="SH",'AES Indiana Sep 23 Bill Calc.'!$D$18="Yes 25%",'AES Indiana Sep 23 Bill Calc.'!$D$20="Yes 2018"),'AES Indiana Sep 23 Bill Calc.'!$D$19,-1)</f>
        <v>-1</v>
      </c>
      <c r="C214" s="57" t="s">
        <v>158</v>
      </c>
      <c r="F214" s="37" t="s">
        <v>123</v>
      </c>
      <c r="G214" s="17">
        <f>SUM(J214:M214,O214:P214,R214:AA214)</f>
        <v>54.089999999999996</v>
      </c>
      <c r="H214" s="19" t="e">
        <f>IF(ISBLANK(B214),0,+#REF!/B214)</f>
        <v>#REF!</v>
      </c>
      <c r="I214" s="19"/>
      <c r="J214" s="101">
        <f>IF(ISBLANK(B214),0,+J$185)</f>
        <v>54.18</v>
      </c>
      <c r="K214" s="101">
        <f>ROUND($B214*K$185,2)</f>
        <v>-0.09</v>
      </c>
      <c r="L214" s="101"/>
      <c r="M214" s="42"/>
      <c r="N214" s="17">
        <f>SUM(K214:L214)</f>
        <v>-0.09</v>
      </c>
      <c r="O214" s="42"/>
      <c r="P214" s="42"/>
      <c r="Q214" s="42"/>
      <c r="R214" s="42"/>
      <c r="S214" s="43">
        <f>ROUND($B214*S$185*S213,2)</f>
        <v>0</v>
      </c>
      <c r="T214" s="43">
        <f>ROUND($B214*T$185,2)</f>
        <v>0</v>
      </c>
      <c r="U214" s="43">
        <f>ROUND($B214*U$185,2)</f>
        <v>0</v>
      </c>
      <c r="V214" s="42">
        <f>ROUND($B214*V$179,2)</f>
        <v>0</v>
      </c>
      <c r="W214" s="43">
        <f>ROUND($B214*W$185,2)</f>
        <v>0</v>
      </c>
      <c r="X214" s="43">
        <f>ROUND($B214*X$185,2)</f>
        <v>0</v>
      </c>
      <c r="Y214" s="43">
        <f>ROUND($B214*Y$185,2)</f>
        <v>0</v>
      </c>
      <c r="Z214" s="43">
        <f>ROUND($B214*Z$185,2)</f>
        <v>0</v>
      </c>
      <c r="AA214" s="43">
        <f>ROUND($B214*AA$185,2)</f>
        <v>0</v>
      </c>
      <c r="AB214" s="19">
        <f>SUM(U$185:AA$185)+(-V$185+V182)</f>
        <v>6.1519999999999995E-3</v>
      </c>
      <c r="AC214" s="115" t="str">
        <f>+F214</f>
        <v>SH8</v>
      </c>
    </row>
    <row r="215" spans="1:29" ht="13" x14ac:dyDescent="0.3">
      <c r="B215" s="111">
        <v>-1</v>
      </c>
      <c r="C215" s="9"/>
      <c r="F215" s="37"/>
      <c r="G215" s="17"/>
      <c r="H215" s="19"/>
      <c r="I215" s="19"/>
      <c r="J215" s="16"/>
      <c r="K215" s="16"/>
      <c r="L215" s="16"/>
      <c r="M215" s="8"/>
      <c r="N215" s="8"/>
      <c r="O215" s="8"/>
      <c r="P215" s="8"/>
      <c r="Q215" s="8"/>
      <c r="R215" s="8"/>
      <c r="S215" s="51">
        <v>0.1</v>
      </c>
      <c r="T215" s="17"/>
      <c r="U215" s="17"/>
      <c r="V215" s="8"/>
      <c r="W215" s="17"/>
      <c r="X215" s="17"/>
      <c r="Y215" s="17"/>
      <c r="Z215" s="17"/>
      <c r="AA215" s="17"/>
      <c r="AB215" s="19"/>
      <c r="AC215" s="78"/>
    </row>
    <row r="216" spans="1:29" ht="13" x14ac:dyDescent="0.3">
      <c r="A216" s="117"/>
      <c r="B216" s="111">
        <f>IF(AND('AES Indiana Sep 23 Bill Calc.'!$D$17="SH",'AES Indiana Sep 23 Bill Calc.'!$D$18="Yes 10%",'AES Indiana Sep 23 Bill Calc.'!$D$20="Yes 2018"),'AES Indiana Sep 23 Bill Calc.'!$D$19,-1)</f>
        <v>-1</v>
      </c>
      <c r="C216" s="57" t="s">
        <v>173</v>
      </c>
      <c r="F216" s="37" t="s">
        <v>123</v>
      </c>
      <c r="G216" s="17">
        <f>SUM(J216:M216,O216:P216,R216:AA216)</f>
        <v>54.089999999999996</v>
      </c>
      <c r="H216" s="19" t="e">
        <f>IF(ISBLANK(B216),0,+#REF!/B216)</f>
        <v>#REF!</v>
      </c>
      <c r="I216" s="19"/>
      <c r="J216" s="101">
        <f>IF(ISBLANK(B216),0,+J$185)</f>
        <v>54.18</v>
      </c>
      <c r="K216" s="101">
        <f>ROUND($B216*K$185,2)</f>
        <v>-0.09</v>
      </c>
      <c r="L216" s="101"/>
      <c r="M216" s="42"/>
      <c r="N216" s="17">
        <f>SUM(K216:L216)</f>
        <v>-0.09</v>
      </c>
      <c r="O216" s="42"/>
      <c r="P216" s="42"/>
      <c r="Q216" s="42"/>
      <c r="R216" s="42"/>
      <c r="S216" s="43">
        <f>ROUND($B216*S$185*S215,2)</f>
        <v>0</v>
      </c>
      <c r="T216" s="43">
        <f>ROUND($B216*T$185,2)</f>
        <v>0</v>
      </c>
      <c r="U216" s="43">
        <f>ROUND($B216*U$185,2)</f>
        <v>0</v>
      </c>
      <c r="V216" s="42">
        <f>ROUND($B216*V$179,2)</f>
        <v>0</v>
      </c>
      <c r="W216" s="43">
        <f>ROUND($B216*W$185,2)</f>
        <v>0</v>
      </c>
      <c r="X216" s="43">
        <f>ROUND($B216*X$185,2)</f>
        <v>0</v>
      </c>
      <c r="Y216" s="43">
        <f>ROUND($B216*Y$185,2)</f>
        <v>0</v>
      </c>
      <c r="Z216" s="43">
        <f>ROUND($B216*Z$185,2)</f>
        <v>0</v>
      </c>
      <c r="AA216" s="43">
        <f>ROUND($B216*AA$185,2)</f>
        <v>0</v>
      </c>
      <c r="AB216" s="19">
        <f>SUM(U$185:AA$185)+(-V$185+V186)</f>
        <v>4.548E-3</v>
      </c>
      <c r="AC216" s="115" t="str">
        <f>+F216</f>
        <v>SH8</v>
      </c>
    </row>
    <row r="217" spans="1:29" ht="13" x14ac:dyDescent="0.3">
      <c r="B217" s="111">
        <v>-1</v>
      </c>
      <c r="C217" s="9"/>
      <c r="F217" s="37"/>
      <c r="G217" s="17"/>
      <c r="H217" s="19"/>
      <c r="I217" s="19"/>
      <c r="J217" s="16"/>
      <c r="K217" s="16"/>
      <c r="L217" s="16"/>
      <c r="M217" s="8"/>
      <c r="N217" s="8"/>
      <c r="O217" s="8"/>
      <c r="P217" s="8"/>
      <c r="Q217" s="8"/>
      <c r="R217" s="8"/>
      <c r="S217" s="51">
        <v>0</v>
      </c>
      <c r="T217" s="17"/>
      <c r="U217" s="17"/>
      <c r="V217" s="8"/>
      <c r="W217" s="17"/>
      <c r="X217" s="17"/>
      <c r="Y217" s="17"/>
      <c r="Z217" s="17"/>
      <c r="AA217" s="17"/>
      <c r="AB217" s="19"/>
      <c r="AC217" s="78"/>
    </row>
    <row r="218" spans="1:29" ht="13" x14ac:dyDescent="0.3">
      <c r="A218" s="117"/>
      <c r="B218" s="111">
        <f>IF(AND('AES Indiana Sep 23 Bill Calc.'!$D$17="SH",'AES Indiana Sep 23 Bill Calc.'!$D$18="No",'AES Indiana Sep 23 Bill Calc.'!$D$20="Yes 2018"),'AES Indiana Sep 23 Bill Calc.'!$D$19,-1)</f>
        <v>-1</v>
      </c>
      <c r="C218" s="57" t="s">
        <v>172</v>
      </c>
      <c r="F218" s="37" t="s">
        <v>123</v>
      </c>
      <c r="G218" s="17">
        <f>SUM(J218:M218,O218:P218,R218:AA218)</f>
        <v>54.089999999999996</v>
      </c>
      <c r="H218" s="19" t="e">
        <f>IF(ISBLANK(B218),0,+#REF!/B218)</f>
        <v>#REF!</v>
      </c>
      <c r="I218" s="19"/>
      <c r="J218" s="101">
        <f>IF(ISBLANK(B218),0,+J$185)</f>
        <v>54.18</v>
      </c>
      <c r="K218" s="101">
        <f>ROUND($B218*K$185,2)</f>
        <v>-0.09</v>
      </c>
      <c r="L218" s="101"/>
      <c r="M218" s="42"/>
      <c r="N218" s="17">
        <f>SUM(K218:L218)</f>
        <v>-0.09</v>
      </c>
      <c r="O218" s="42"/>
      <c r="P218" s="42"/>
      <c r="Q218" s="42"/>
      <c r="R218" s="42"/>
      <c r="S218" s="43">
        <f>ROUND($B218*S$185*S217,2)</f>
        <v>0</v>
      </c>
      <c r="T218" s="43">
        <f>ROUND($B218*T$185,2)</f>
        <v>0</v>
      </c>
      <c r="U218" s="43">
        <f>ROUND($B218*U$185,2)</f>
        <v>0</v>
      </c>
      <c r="V218" s="42">
        <f>ROUND($B218*V$179,2)</f>
        <v>0</v>
      </c>
      <c r="W218" s="43">
        <f>ROUND($B218*W$185,2)</f>
        <v>0</v>
      </c>
      <c r="X218" s="43">
        <f>ROUND($B218*X$185,2)</f>
        <v>0</v>
      </c>
      <c r="Y218" s="43">
        <f>ROUND($B218*Y$185,2)</f>
        <v>0</v>
      </c>
      <c r="Z218" s="43">
        <f>ROUND($B218*Z$185,2)</f>
        <v>0</v>
      </c>
      <c r="AA218" s="43">
        <f>ROUND($B218*AA$185,2)</f>
        <v>0</v>
      </c>
      <c r="AB218" s="19" t="e">
        <f>SUM(U$185:AA$185)+(-V$185+V188)</f>
        <v>#VALUE!</v>
      </c>
      <c r="AC218" s="115" t="str">
        <f>+F218</f>
        <v>SH8</v>
      </c>
    </row>
    <row r="219" spans="1:29" ht="13" x14ac:dyDescent="0.3">
      <c r="A219" s="117"/>
      <c r="B219" s="128">
        <v>-1</v>
      </c>
      <c r="C219" s="119"/>
      <c r="F219" s="37"/>
      <c r="G219" s="120"/>
      <c r="H219" s="19"/>
      <c r="I219" s="19"/>
      <c r="J219" s="129"/>
      <c r="K219" s="129"/>
      <c r="L219" s="129"/>
      <c r="M219" s="107"/>
      <c r="N219" s="107"/>
      <c r="O219" s="107"/>
      <c r="P219" s="107"/>
      <c r="Q219" s="107"/>
      <c r="R219" s="107"/>
      <c r="S219" s="51">
        <v>1</v>
      </c>
      <c r="T219" s="120"/>
      <c r="U219" s="120"/>
      <c r="V219" s="107"/>
      <c r="W219" s="120"/>
      <c r="X219" s="120"/>
      <c r="Y219" s="120"/>
      <c r="Z219" s="120"/>
      <c r="AA219" s="120"/>
      <c r="AB219" s="19"/>
      <c r="AC219" s="130"/>
    </row>
    <row r="220" spans="1:29" ht="13" x14ac:dyDescent="0.3">
      <c r="A220" s="117"/>
      <c r="B220" s="111">
        <f>IF(AND('AES Indiana Sep 23 Bill Calc.'!$D$17="SH",'AES Indiana Sep 23 Bill Calc.'!$D$18="Yes 100%",'AES Indiana Sep 23 Bill Calc.'!$D$20="Yes 2019"),'AES Indiana Sep 23 Bill Calc.'!$D$19,-1)</f>
        <v>-1</v>
      </c>
      <c r="C220" s="1" t="s">
        <v>73</v>
      </c>
      <c r="F220" s="37" t="s">
        <v>141</v>
      </c>
      <c r="G220" s="17">
        <f>SUM(J220:M220,O220:P220,R220:AA220)</f>
        <v>54.089999999999996</v>
      </c>
      <c r="H220" s="19" t="e">
        <f>IF(ISBLANK(B220),0,+#REF!/B220)</f>
        <v>#REF!</v>
      </c>
      <c r="I220" s="19"/>
      <c r="J220" s="101">
        <f>IF(ISBLANK(B220),0,+J$185)</f>
        <v>54.18</v>
      </c>
      <c r="K220" s="101">
        <f>ROUND($B220*K$185,2)</f>
        <v>-0.09</v>
      </c>
      <c r="L220" s="101"/>
      <c r="M220" s="42"/>
      <c r="N220" s="17">
        <f>SUM(K220:L220)</f>
        <v>-0.09</v>
      </c>
      <c r="O220" s="42"/>
      <c r="P220" s="42"/>
      <c r="Q220" s="42"/>
      <c r="R220" s="42"/>
      <c r="S220" s="43">
        <f>ROUND($B220*S$185*S219,2)</f>
        <v>0</v>
      </c>
      <c r="T220" s="43">
        <f>ROUND($B220*T$185,2)</f>
        <v>0</v>
      </c>
      <c r="U220" s="43">
        <f>ROUND($B220*U$185,2)</f>
        <v>0</v>
      </c>
      <c r="V220" s="42">
        <f>ROUND($B220*V$180,2)</f>
        <v>0</v>
      </c>
      <c r="W220" s="43">
        <f>ROUND($B220*W$185,2)</f>
        <v>0</v>
      </c>
      <c r="X220" s="43">
        <f>ROUND($B220*X$185,2)</f>
        <v>0</v>
      </c>
      <c r="Y220" s="43">
        <f>ROUND($B220*Y$185,2)</f>
        <v>0</v>
      </c>
      <c r="Z220" s="43">
        <f>ROUND($B220*Z$185,2)</f>
        <v>0</v>
      </c>
      <c r="AA220" s="43">
        <f>ROUND($B220*AA$185,2)</f>
        <v>0</v>
      </c>
      <c r="AB220" s="19">
        <f>SUM(U$185:AA$185)+(-V$185+V185)</f>
        <v>1.2064E-2</v>
      </c>
      <c r="AC220" s="115" t="str">
        <f>+F220</f>
        <v>SH9</v>
      </c>
    </row>
    <row r="221" spans="1:29" ht="13" x14ac:dyDescent="0.3">
      <c r="A221" s="117"/>
      <c r="B221" s="128">
        <v>-1</v>
      </c>
      <c r="C221" s="9"/>
      <c r="F221" s="37"/>
      <c r="G221" s="120"/>
      <c r="H221" s="19"/>
      <c r="I221" s="19"/>
      <c r="J221" s="129"/>
      <c r="K221" s="129"/>
      <c r="L221" s="129"/>
      <c r="M221" s="107"/>
      <c r="N221" s="107"/>
      <c r="O221" s="107"/>
      <c r="P221" s="107"/>
      <c r="Q221" s="107"/>
      <c r="R221" s="107"/>
      <c r="S221" s="51">
        <v>0.5</v>
      </c>
      <c r="T221" s="120"/>
      <c r="U221" s="120"/>
      <c r="V221" s="107"/>
      <c r="W221" s="120"/>
      <c r="X221" s="120"/>
      <c r="Y221" s="120"/>
      <c r="Z221" s="120"/>
      <c r="AA221" s="120"/>
      <c r="AB221" s="19"/>
      <c r="AC221" s="130"/>
    </row>
    <row r="222" spans="1:29" ht="13" x14ac:dyDescent="0.3">
      <c r="A222" s="117"/>
      <c r="B222" s="111">
        <f>IF(AND('AES Indiana Sep 23 Bill Calc.'!$D$17="SH",'AES Indiana Sep 23 Bill Calc.'!$D$18="Yes 50%",'AES Indiana Sep 23 Bill Calc.'!$D$20="Yes 2019"),'AES Indiana Sep 23 Bill Calc.'!$D$19,-1)</f>
        <v>-1</v>
      </c>
      <c r="C222" s="57" t="s">
        <v>171</v>
      </c>
      <c r="F222" s="37" t="s">
        <v>141</v>
      </c>
      <c r="G222" s="17">
        <f>SUM(J222:M222,O222:P222,R222:AA222)</f>
        <v>54.089999999999996</v>
      </c>
      <c r="H222" s="19" t="e">
        <f>IF(ISBLANK(B222),0,+#REF!/B222)</f>
        <v>#REF!</v>
      </c>
      <c r="I222" s="19"/>
      <c r="J222" s="101">
        <f>IF(ISBLANK(B222),0,+J$185)</f>
        <v>54.18</v>
      </c>
      <c r="K222" s="101">
        <f>ROUND($B222*K$185,2)</f>
        <v>-0.09</v>
      </c>
      <c r="L222" s="101"/>
      <c r="M222" s="42"/>
      <c r="N222" s="17">
        <f>SUM(K222:L222)</f>
        <v>-0.09</v>
      </c>
      <c r="O222" s="42"/>
      <c r="P222" s="42"/>
      <c r="Q222" s="42"/>
      <c r="R222" s="42"/>
      <c r="S222" s="43">
        <f>ROUND($B222*S$185*S221,2)</f>
        <v>0</v>
      </c>
      <c r="T222" s="43">
        <f>ROUND($B222*T$185,2)</f>
        <v>0</v>
      </c>
      <c r="U222" s="43">
        <f>ROUND($B222*U$185,2)</f>
        <v>0</v>
      </c>
      <c r="V222" s="42">
        <f>ROUND($B222*V$180,2)</f>
        <v>0</v>
      </c>
      <c r="W222" s="43">
        <f>ROUND($B222*W$185,2)</f>
        <v>0</v>
      </c>
      <c r="X222" s="43">
        <f>ROUND($B222*X$185,2)</f>
        <v>0</v>
      </c>
      <c r="Y222" s="43">
        <f>ROUND($B222*Y$185,2)</f>
        <v>0</v>
      </c>
      <c r="Z222" s="43">
        <f>ROUND($B222*Z$185,2)</f>
        <v>0</v>
      </c>
      <c r="AA222" s="43">
        <f>ROUND($B222*AA$185,2)</f>
        <v>0</v>
      </c>
      <c r="AB222" s="19">
        <f>SUM(U$185:AA$185)+(-V$185+V187)</f>
        <v>22.004548</v>
      </c>
      <c r="AC222" s="115" t="str">
        <f>+F222</f>
        <v>SH9</v>
      </c>
    </row>
    <row r="223" spans="1:29" ht="13" x14ac:dyDescent="0.3">
      <c r="A223" s="117"/>
      <c r="B223" s="128">
        <v>-1</v>
      </c>
      <c r="C223" s="9"/>
      <c r="F223" s="37"/>
      <c r="G223" s="120"/>
      <c r="H223" s="19"/>
      <c r="I223" s="19"/>
      <c r="J223" s="129"/>
      <c r="K223" s="129"/>
      <c r="L223" s="129"/>
      <c r="M223" s="107"/>
      <c r="N223" s="107"/>
      <c r="O223" s="107"/>
      <c r="P223" s="107"/>
      <c r="Q223" s="107"/>
      <c r="R223" s="107"/>
      <c r="S223" s="51">
        <v>0.25</v>
      </c>
      <c r="T223" s="120"/>
      <c r="U223" s="120"/>
      <c r="V223" s="107"/>
      <c r="W223" s="120"/>
      <c r="X223" s="120"/>
      <c r="Y223" s="120"/>
      <c r="Z223" s="120"/>
      <c r="AA223" s="120"/>
      <c r="AB223" s="19"/>
      <c r="AC223" s="130"/>
    </row>
    <row r="224" spans="1:29" ht="13" x14ac:dyDescent="0.3">
      <c r="A224" s="117"/>
      <c r="B224" s="111">
        <f>IF(AND('AES Indiana Sep 23 Bill Calc.'!$D$17="SH",'AES Indiana Sep 23 Bill Calc.'!$D$18="Yes 25%",'AES Indiana Sep 23 Bill Calc.'!$D$20="Yes 2019"),'AES Indiana Sep 23 Bill Calc.'!$D$19,-1)</f>
        <v>-1</v>
      </c>
      <c r="C224" s="57" t="s">
        <v>158</v>
      </c>
      <c r="F224" s="37" t="s">
        <v>141</v>
      </c>
      <c r="G224" s="17">
        <f>SUM(J224:M224,O224:P224,R224:AA224)</f>
        <v>54.089999999999996</v>
      </c>
      <c r="H224" s="19" t="e">
        <f>IF(ISBLANK(B224),0,+#REF!/B224)</f>
        <v>#REF!</v>
      </c>
      <c r="I224" s="19"/>
      <c r="J224" s="101">
        <f>IF(ISBLANK(B224),0,+J$185)</f>
        <v>54.18</v>
      </c>
      <c r="K224" s="101">
        <f>ROUND($B224*K$185,2)</f>
        <v>-0.09</v>
      </c>
      <c r="L224" s="101"/>
      <c r="M224" s="42"/>
      <c r="N224" s="17">
        <f>SUM(K224:L224)</f>
        <v>-0.09</v>
      </c>
      <c r="O224" s="42"/>
      <c r="P224" s="42"/>
      <c r="Q224" s="42"/>
      <c r="R224" s="42"/>
      <c r="S224" s="43">
        <f>ROUND($B224*S$185*S223,2)</f>
        <v>0</v>
      </c>
      <c r="T224" s="43">
        <f>ROUND($B224*T$185,2)</f>
        <v>0</v>
      </c>
      <c r="U224" s="43">
        <f>ROUND($B224*U$185,2)</f>
        <v>0</v>
      </c>
      <c r="V224" s="42">
        <f>ROUND($B224*V$180,2)</f>
        <v>0</v>
      </c>
      <c r="W224" s="43">
        <f>ROUND($B224*W$185,2)</f>
        <v>0</v>
      </c>
      <c r="X224" s="43">
        <f>ROUND($B224*X$185,2)</f>
        <v>0</v>
      </c>
      <c r="Y224" s="43">
        <f>ROUND($B224*Y$185,2)</f>
        <v>0</v>
      </c>
      <c r="Z224" s="43">
        <f>ROUND($B224*Z$185,2)</f>
        <v>0</v>
      </c>
      <c r="AA224" s="43">
        <f>ROUND($B224*AA$185,2)</f>
        <v>0</v>
      </c>
      <c r="AB224" s="19">
        <f>SUM(U$185:AA$185)+(-V$185+V189)</f>
        <v>4.548E-3</v>
      </c>
      <c r="AC224" s="115" t="str">
        <f>+F224</f>
        <v>SH9</v>
      </c>
    </row>
    <row r="225" spans="1:29" ht="13" x14ac:dyDescent="0.3">
      <c r="A225" s="117"/>
      <c r="B225" s="128">
        <v>-1</v>
      </c>
      <c r="C225" s="9"/>
      <c r="F225" s="37"/>
      <c r="G225" s="120"/>
      <c r="H225" s="19"/>
      <c r="I225" s="19"/>
      <c r="J225" s="129"/>
      <c r="K225" s="129"/>
      <c r="L225" s="129"/>
      <c r="M225" s="107"/>
      <c r="N225" s="107"/>
      <c r="O225" s="107"/>
      <c r="P225" s="107"/>
      <c r="Q225" s="107"/>
      <c r="R225" s="107"/>
      <c r="S225" s="51">
        <v>0.1</v>
      </c>
      <c r="T225" s="120"/>
      <c r="U225" s="120"/>
      <c r="V225" s="107"/>
      <c r="W225" s="120"/>
      <c r="X225" s="120"/>
      <c r="Y225" s="120"/>
      <c r="Z225" s="120"/>
      <c r="AA225" s="120"/>
      <c r="AB225" s="19"/>
      <c r="AC225" s="130"/>
    </row>
    <row r="226" spans="1:29" ht="13" x14ac:dyDescent="0.3">
      <c r="A226" s="117"/>
      <c r="B226" s="111">
        <f>IF(AND('AES Indiana Sep 23 Bill Calc.'!$D$17="SH",'AES Indiana Sep 23 Bill Calc.'!$D$18="Yes 10%",'AES Indiana Sep 23 Bill Calc.'!$D$20="Yes 2019"),'AES Indiana Sep 23 Bill Calc.'!$D$19,-1)</f>
        <v>-1</v>
      </c>
      <c r="C226" s="57" t="s">
        <v>173</v>
      </c>
      <c r="F226" s="37" t="s">
        <v>141</v>
      </c>
      <c r="G226" s="17">
        <f>SUM(J226:M226,O226:P226,R226:AA226)</f>
        <v>54.089999999999996</v>
      </c>
      <c r="H226" s="19" t="e">
        <f>IF(ISBLANK(B226),0,+#REF!/B226)</f>
        <v>#REF!</v>
      </c>
      <c r="I226" s="19"/>
      <c r="J226" s="101">
        <f>IF(ISBLANK(B226),0,+J$185)</f>
        <v>54.18</v>
      </c>
      <c r="K226" s="101">
        <f>ROUND($B226*K$185,2)</f>
        <v>-0.09</v>
      </c>
      <c r="L226" s="101"/>
      <c r="M226" s="42"/>
      <c r="N226" s="17">
        <f>SUM(K226:L226)</f>
        <v>-0.09</v>
      </c>
      <c r="O226" s="42"/>
      <c r="P226" s="42"/>
      <c r="Q226" s="42"/>
      <c r="R226" s="42"/>
      <c r="S226" s="43">
        <f>ROUND($B226*S$185*S225,2)</f>
        <v>0</v>
      </c>
      <c r="T226" s="43">
        <f>ROUND($B226*T$185,2)</f>
        <v>0</v>
      </c>
      <c r="U226" s="43">
        <f>ROUND($B226*U$185,2)</f>
        <v>0</v>
      </c>
      <c r="V226" s="42">
        <f>ROUND($B226*V$180,2)</f>
        <v>0</v>
      </c>
      <c r="W226" s="43">
        <f>ROUND($B226*W$185,2)</f>
        <v>0</v>
      </c>
      <c r="X226" s="43">
        <f>ROUND($B226*X$185,2)</f>
        <v>0</v>
      </c>
      <c r="Y226" s="43">
        <f>ROUND($B226*Y$185,2)</f>
        <v>0</v>
      </c>
      <c r="Z226" s="43">
        <f>ROUND($B226*Z$185,2)</f>
        <v>0</v>
      </c>
      <c r="AA226" s="43">
        <f>ROUND($B226*AA$185,2)</f>
        <v>0</v>
      </c>
      <c r="AB226" s="19">
        <f>SUM(U$185:AA$185)+(-V$185+V191)</f>
        <v>4.548E-3</v>
      </c>
      <c r="AC226" s="115" t="str">
        <f>+F226</f>
        <v>SH9</v>
      </c>
    </row>
    <row r="227" spans="1:29" ht="13" x14ac:dyDescent="0.3">
      <c r="A227" s="117"/>
      <c r="B227" s="128">
        <v>-1</v>
      </c>
      <c r="C227" s="9"/>
      <c r="F227" s="37"/>
      <c r="G227" s="120"/>
      <c r="H227" s="19"/>
      <c r="I227" s="19"/>
      <c r="J227" s="129"/>
      <c r="K227" s="129"/>
      <c r="L227" s="129"/>
      <c r="M227" s="107"/>
      <c r="N227" s="107"/>
      <c r="O227" s="107"/>
      <c r="P227" s="107"/>
      <c r="Q227" s="107"/>
      <c r="R227" s="107"/>
      <c r="S227" s="51">
        <v>0</v>
      </c>
      <c r="T227" s="120"/>
      <c r="U227" s="120"/>
      <c r="V227" s="107"/>
      <c r="W227" s="120"/>
      <c r="X227" s="120"/>
      <c r="Y227" s="120"/>
      <c r="Z227" s="120"/>
      <c r="AA227" s="120"/>
      <c r="AB227" s="19"/>
      <c r="AC227" s="130"/>
    </row>
    <row r="228" spans="1:29" ht="13" x14ac:dyDescent="0.3">
      <c r="A228" s="117"/>
      <c r="B228" s="111">
        <f>IF(AND('AES Indiana Sep 23 Bill Calc.'!$D$17="SH",'AES Indiana Sep 23 Bill Calc.'!$D$18="No",'AES Indiana Sep 23 Bill Calc.'!$D$20="Yes 2019"),'AES Indiana Sep 23 Bill Calc.'!$D$19,-1)</f>
        <v>-1</v>
      </c>
      <c r="C228" s="57" t="s">
        <v>172</v>
      </c>
      <c r="F228" s="37" t="s">
        <v>141</v>
      </c>
      <c r="G228" s="17">
        <f>SUM(J228:M228,O228:P228,R228:AA228)</f>
        <v>54.089999999999996</v>
      </c>
      <c r="H228" s="19" t="e">
        <f>IF(ISBLANK(B228),0,+#REF!/B228)</f>
        <v>#REF!</v>
      </c>
      <c r="I228" s="19"/>
      <c r="J228" s="101">
        <f>IF(ISBLANK(B228),0,+J$185)</f>
        <v>54.18</v>
      </c>
      <c r="K228" s="101">
        <f>ROUND($B228*K$185,2)</f>
        <v>-0.09</v>
      </c>
      <c r="L228" s="101"/>
      <c r="M228" s="42"/>
      <c r="N228" s="17">
        <f>SUM(K228:L228)</f>
        <v>-0.09</v>
      </c>
      <c r="O228" s="42"/>
      <c r="P228" s="42"/>
      <c r="Q228" s="42"/>
      <c r="R228" s="42"/>
      <c r="S228" s="43">
        <f>ROUND($B228*S$185*S227,2)</f>
        <v>0</v>
      </c>
      <c r="T228" s="43">
        <f>ROUND($B228*T$185,2)</f>
        <v>0</v>
      </c>
      <c r="U228" s="43">
        <f>ROUND($B228*U$185,2)</f>
        <v>0</v>
      </c>
      <c r="V228" s="42">
        <f>ROUND($B228*V$180,2)</f>
        <v>0</v>
      </c>
      <c r="W228" s="43">
        <f>ROUND($B228*W$185,2)</f>
        <v>0</v>
      </c>
      <c r="X228" s="43">
        <f>ROUND($B228*X$185,2)</f>
        <v>0</v>
      </c>
      <c r="Y228" s="43">
        <f>ROUND($B228*Y$185,2)</f>
        <v>0</v>
      </c>
      <c r="Z228" s="43">
        <f>ROUND($B228*Z$185,2)</f>
        <v>0</v>
      </c>
      <c r="AA228" s="43">
        <f>ROUND($B228*AA$185,2)</f>
        <v>0</v>
      </c>
      <c r="AB228" s="19">
        <f>SUM(U$185:AA$185)+(-V$185+V193)</f>
        <v>4.548E-3</v>
      </c>
      <c r="AC228" s="115" t="str">
        <f>+F228</f>
        <v>SH9</v>
      </c>
    </row>
    <row r="229" spans="1:29" ht="13" x14ac:dyDescent="0.3">
      <c r="A229" s="117"/>
      <c r="B229" s="128">
        <v>-1</v>
      </c>
      <c r="C229" s="119"/>
      <c r="F229" s="37"/>
      <c r="G229" s="120"/>
      <c r="H229" s="19"/>
      <c r="I229" s="19"/>
      <c r="J229" s="129"/>
      <c r="K229" s="129"/>
      <c r="L229" s="129"/>
      <c r="M229" s="107"/>
      <c r="N229" s="107"/>
      <c r="O229" s="107"/>
      <c r="P229" s="107"/>
      <c r="Q229" s="107"/>
      <c r="R229" s="107"/>
      <c r="S229" s="51">
        <v>1</v>
      </c>
      <c r="T229" s="120"/>
      <c r="U229" s="120"/>
      <c r="V229" s="107"/>
      <c r="W229" s="120"/>
      <c r="X229" s="120"/>
      <c r="Y229" s="120"/>
      <c r="Z229" s="120"/>
      <c r="AA229" s="120"/>
      <c r="AB229" s="19"/>
      <c r="AC229" s="130"/>
    </row>
    <row r="230" spans="1:29" ht="13" x14ac:dyDescent="0.3">
      <c r="A230" s="117"/>
      <c r="B230" s="111">
        <f>IF(AND('AES Indiana Sep 23 Bill Calc.'!$D$17="SH",'AES Indiana Sep 23 Bill Calc.'!$D$18="Yes 100%",'AES Indiana Sep 23 Bill Calc.'!$D$20="Yes 2020"),'AES Indiana Sep 23 Bill Calc.'!$D$19,-1)</f>
        <v>-1</v>
      </c>
      <c r="C230" s="1" t="s">
        <v>73</v>
      </c>
      <c r="F230" s="37" t="s">
        <v>142</v>
      </c>
      <c r="G230" s="17">
        <f>SUM(J230:M230,O230:P230,R230:AA230)</f>
        <v>54.089999999999996</v>
      </c>
      <c r="H230" s="19" t="e">
        <f>IF(ISBLANK(B230),0,+#REF!/B230)</f>
        <v>#REF!</v>
      </c>
      <c r="I230" s="19"/>
      <c r="J230" s="101">
        <f>IF(ISBLANK(B230),0,+J$185)</f>
        <v>54.18</v>
      </c>
      <c r="K230" s="101">
        <f>ROUND($B230*K$185,2)</f>
        <v>-0.09</v>
      </c>
      <c r="L230" s="101"/>
      <c r="M230" s="42"/>
      <c r="N230" s="17">
        <f>SUM(K230:L230)</f>
        <v>-0.09</v>
      </c>
      <c r="O230" s="42"/>
      <c r="P230" s="42"/>
      <c r="Q230" s="42"/>
      <c r="R230" s="42"/>
      <c r="S230" s="43">
        <f>ROUND($B230*S$185*S229,2)</f>
        <v>0</v>
      </c>
      <c r="T230" s="43">
        <f>ROUND($B230*T$185,2)</f>
        <v>0</v>
      </c>
      <c r="U230" s="43">
        <f>ROUND($B230*U$185,2)</f>
        <v>0</v>
      </c>
      <c r="V230" s="42">
        <f>ROUND($B230*V$181,2)</f>
        <v>0</v>
      </c>
      <c r="W230" s="43">
        <f>ROUND($B230*W$185,2)</f>
        <v>0</v>
      </c>
      <c r="X230" s="43">
        <f>ROUND($B230*X$185,2)</f>
        <v>0</v>
      </c>
      <c r="Y230" s="43">
        <f>ROUND($B230*Y$185,2)</f>
        <v>0</v>
      </c>
      <c r="Z230" s="43">
        <f>ROUND($B230*Z$185,2)</f>
        <v>0</v>
      </c>
      <c r="AA230" s="43">
        <f>ROUND($B230*AA$185,2)</f>
        <v>0</v>
      </c>
      <c r="AB230" s="19">
        <f>SUM(U$185:AA$185)+(-V$185+V195)</f>
        <v>4.548E-3</v>
      </c>
      <c r="AC230" s="115" t="str">
        <f>+F230</f>
        <v>SH0</v>
      </c>
    </row>
    <row r="231" spans="1:29" ht="13" x14ac:dyDescent="0.3">
      <c r="A231" s="117"/>
      <c r="B231" s="128">
        <v>-1</v>
      </c>
      <c r="C231" s="9"/>
      <c r="F231" s="37"/>
      <c r="G231" s="120"/>
      <c r="H231" s="19"/>
      <c r="I231" s="19"/>
      <c r="J231" s="129"/>
      <c r="K231" s="129"/>
      <c r="L231" s="129"/>
      <c r="M231" s="107"/>
      <c r="N231" s="107"/>
      <c r="O231" s="107"/>
      <c r="P231" s="107"/>
      <c r="Q231" s="107"/>
      <c r="R231" s="107"/>
      <c r="S231" s="51">
        <v>0.5</v>
      </c>
      <c r="T231" s="120"/>
      <c r="U231" s="120"/>
      <c r="V231" s="107"/>
      <c r="W231" s="120"/>
      <c r="X231" s="120"/>
      <c r="Y231" s="120"/>
      <c r="Z231" s="120"/>
      <c r="AA231" s="120"/>
      <c r="AB231" s="19"/>
      <c r="AC231" s="130"/>
    </row>
    <row r="232" spans="1:29" ht="13" x14ac:dyDescent="0.3">
      <c r="A232" s="117"/>
      <c r="B232" s="111">
        <f>IF(AND('AES Indiana Sep 23 Bill Calc.'!$D$17="SH",'AES Indiana Sep 23 Bill Calc.'!$D$18="Yes 50%",'AES Indiana Sep 23 Bill Calc.'!$D$20="Yes 2020"),'AES Indiana Sep 23 Bill Calc.'!$D$19,-1)</f>
        <v>-1</v>
      </c>
      <c r="C232" s="57" t="s">
        <v>171</v>
      </c>
      <c r="F232" s="37" t="s">
        <v>142</v>
      </c>
      <c r="G232" s="17">
        <f>SUM(J232:M232,O232:P232,R232:AA232)</f>
        <v>54.089999999999996</v>
      </c>
      <c r="H232" s="19" t="e">
        <f>IF(ISBLANK(B232),0,+#REF!/B232)</f>
        <v>#REF!</v>
      </c>
      <c r="I232" s="19"/>
      <c r="J232" s="101">
        <f>IF(ISBLANK(B232),0,+J$185)</f>
        <v>54.18</v>
      </c>
      <c r="K232" s="101">
        <f>ROUND($B232*K$185,2)</f>
        <v>-0.09</v>
      </c>
      <c r="L232" s="101"/>
      <c r="M232" s="42"/>
      <c r="N232" s="17">
        <f>SUM(K232:L232)</f>
        <v>-0.09</v>
      </c>
      <c r="O232" s="42"/>
      <c r="P232" s="42"/>
      <c r="Q232" s="42"/>
      <c r="R232" s="42"/>
      <c r="S232" s="43">
        <f>ROUND($B232*S$185*S231,2)</f>
        <v>0</v>
      </c>
      <c r="T232" s="43">
        <f>ROUND($B232*T$185,2)</f>
        <v>0</v>
      </c>
      <c r="U232" s="43">
        <f>ROUND($B232*U$185,2)</f>
        <v>0</v>
      </c>
      <c r="V232" s="42">
        <f>ROUND($B232*V$181,2)</f>
        <v>0</v>
      </c>
      <c r="W232" s="43">
        <f>ROUND($B232*W$185,2)</f>
        <v>0</v>
      </c>
      <c r="X232" s="43">
        <f>ROUND($B232*X$185,2)</f>
        <v>0</v>
      </c>
      <c r="Y232" s="43">
        <f>ROUND($B232*Y$185,2)</f>
        <v>0</v>
      </c>
      <c r="Z232" s="43">
        <f>ROUND($B232*Z$185,2)</f>
        <v>0</v>
      </c>
      <c r="AA232" s="43">
        <f>ROUND($B232*AA$185,2)</f>
        <v>0</v>
      </c>
      <c r="AB232" s="19">
        <f>SUM(U$185:AA$185)+(-V$185+V197)</f>
        <v>4.548E-3</v>
      </c>
      <c r="AC232" s="115" t="str">
        <f>+F232</f>
        <v>SH0</v>
      </c>
    </row>
    <row r="233" spans="1:29" ht="13" x14ac:dyDescent="0.3">
      <c r="A233" s="117"/>
      <c r="B233" s="128">
        <v>-1</v>
      </c>
      <c r="C233" s="9"/>
      <c r="F233" s="37"/>
      <c r="G233" s="120"/>
      <c r="H233" s="19"/>
      <c r="I233" s="19"/>
      <c r="J233" s="129"/>
      <c r="K233" s="129"/>
      <c r="L233" s="129"/>
      <c r="M233" s="107"/>
      <c r="N233" s="107"/>
      <c r="O233" s="107"/>
      <c r="P233" s="107"/>
      <c r="Q233" s="107"/>
      <c r="R233" s="107"/>
      <c r="S233" s="51">
        <v>0.25</v>
      </c>
      <c r="T233" s="120"/>
      <c r="U233" s="120"/>
      <c r="V233" s="107"/>
      <c r="W233" s="120"/>
      <c r="X233" s="120"/>
      <c r="Y233" s="120"/>
      <c r="Z233" s="120"/>
      <c r="AA233" s="120"/>
      <c r="AB233" s="19"/>
      <c r="AC233" s="130"/>
    </row>
    <row r="234" spans="1:29" ht="13" x14ac:dyDescent="0.3">
      <c r="A234" s="117"/>
      <c r="B234" s="111">
        <f>IF(AND('AES Indiana Sep 23 Bill Calc.'!$D$17="SH",'AES Indiana Sep 23 Bill Calc.'!$D$18="Yes 25%",'AES Indiana Sep 23 Bill Calc.'!$D$20="Yes 2020"),'AES Indiana Sep 23 Bill Calc.'!$D$19,-1)</f>
        <v>-1</v>
      </c>
      <c r="C234" s="57" t="s">
        <v>158</v>
      </c>
      <c r="F234" s="37" t="s">
        <v>142</v>
      </c>
      <c r="G234" s="17">
        <f>SUM(J234:M234,O234:P234,R234:AA234)</f>
        <v>54.089999999999996</v>
      </c>
      <c r="H234" s="19" t="e">
        <f>IF(ISBLANK(B234),0,+#REF!/B234)</f>
        <v>#REF!</v>
      </c>
      <c r="I234" s="19"/>
      <c r="J234" s="101">
        <f>IF(ISBLANK(B234),0,+J$185)</f>
        <v>54.18</v>
      </c>
      <c r="K234" s="101">
        <f>ROUND($B234*K$185,2)</f>
        <v>-0.09</v>
      </c>
      <c r="L234" s="101"/>
      <c r="M234" s="42"/>
      <c r="N234" s="17">
        <f>SUM(K234:L234)</f>
        <v>-0.09</v>
      </c>
      <c r="O234" s="42"/>
      <c r="P234" s="42"/>
      <c r="Q234" s="42"/>
      <c r="R234" s="42"/>
      <c r="S234" s="43">
        <f>ROUND($B234*S$185*S233,2)</f>
        <v>0</v>
      </c>
      <c r="T234" s="43">
        <f>ROUND($B234*T$185,2)</f>
        <v>0</v>
      </c>
      <c r="U234" s="43">
        <f>ROUND($B234*U$185,2)</f>
        <v>0</v>
      </c>
      <c r="V234" s="42">
        <f>ROUND($B234*V$181,2)</f>
        <v>0</v>
      </c>
      <c r="W234" s="43">
        <f>ROUND($B234*W$185,2)</f>
        <v>0</v>
      </c>
      <c r="X234" s="43">
        <f>ROUND($B234*X$185,2)</f>
        <v>0</v>
      </c>
      <c r="Y234" s="43">
        <f>ROUND($B234*Y$185,2)</f>
        <v>0</v>
      </c>
      <c r="Z234" s="43">
        <f>ROUND($B234*Z$185,2)</f>
        <v>0</v>
      </c>
      <c r="AA234" s="43">
        <f>ROUND($B234*AA$185,2)</f>
        <v>0</v>
      </c>
      <c r="AB234" s="19">
        <f>SUM(U$185:AA$185)+(-V$185+V199)</f>
        <v>4.548E-3</v>
      </c>
      <c r="AC234" s="115" t="str">
        <f>+F234</f>
        <v>SH0</v>
      </c>
    </row>
    <row r="235" spans="1:29" ht="13" x14ac:dyDescent="0.3">
      <c r="A235" s="117"/>
      <c r="B235" s="128">
        <v>-1</v>
      </c>
      <c r="C235" s="9"/>
      <c r="F235" s="37"/>
      <c r="G235" s="120"/>
      <c r="H235" s="19"/>
      <c r="I235" s="19"/>
      <c r="J235" s="129"/>
      <c r="K235" s="129"/>
      <c r="L235" s="129"/>
      <c r="M235" s="107"/>
      <c r="N235" s="107"/>
      <c r="O235" s="107"/>
      <c r="P235" s="107"/>
      <c r="Q235" s="107"/>
      <c r="R235" s="107"/>
      <c r="S235" s="51">
        <v>0.1</v>
      </c>
      <c r="T235" s="120"/>
      <c r="U235" s="120"/>
      <c r="V235" s="107"/>
      <c r="W235" s="120"/>
      <c r="X235" s="120"/>
      <c r="Y235" s="120"/>
      <c r="Z235" s="120"/>
      <c r="AA235" s="120"/>
      <c r="AB235" s="19"/>
      <c r="AC235" s="130"/>
    </row>
    <row r="236" spans="1:29" ht="13" x14ac:dyDescent="0.3">
      <c r="A236" s="117"/>
      <c r="B236" s="111">
        <f>IF(AND('AES Indiana Sep 23 Bill Calc.'!$D$17="SH",'AES Indiana Sep 23 Bill Calc.'!$D$18="Yes 10%",'AES Indiana Sep 23 Bill Calc.'!$D$20="Yes 2020"),'AES Indiana Sep 23 Bill Calc.'!$D$19,-1)</f>
        <v>-1</v>
      </c>
      <c r="C236" s="57" t="s">
        <v>173</v>
      </c>
      <c r="F236" s="37" t="s">
        <v>142</v>
      </c>
      <c r="G236" s="17">
        <f>SUM(J236:M236,O236:P236,R236:AA236)</f>
        <v>54.089999999999996</v>
      </c>
      <c r="H236" s="19" t="e">
        <f>IF(ISBLANK(B236),0,+#REF!/B236)</f>
        <v>#REF!</v>
      </c>
      <c r="I236" s="19"/>
      <c r="J236" s="101">
        <f>IF(ISBLANK(B236),0,+J$185)</f>
        <v>54.18</v>
      </c>
      <c r="K236" s="101">
        <f>ROUND($B236*K$185,2)</f>
        <v>-0.09</v>
      </c>
      <c r="L236" s="101"/>
      <c r="M236" s="42"/>
      <c r="N236" s="17">
        <f>SUM(K236:L236)</f>
        <v>-0.09</v>
      </c>
      <c r="O236" s="42"/>
      <c r="P236" s="42"/>
      <c r="Q236" s="42"/>
      <c r="R236" s="42"/>
      <c r="S236" s="43">
        <f>ROUND($B236*S$185*S235,2)</f>
        <v>0</v>
      </c>
      <c r="T236" s="43">
        <f>ROUND($B236*T$185,2)</f>
        <v>0</v>
      </c>
      <c r="U236" s="43">
        <f>ROUND($B236*U$185,2)</f>
        <v>0</v>
      </c>
      <c r="V236" s="42">
        <f>ROUND($B236*V$181,2)</f>
        <v>0</v>
      </c>
      <c r="W236" s="43">
        <f>ROUND($B236*W$185,2)</f>
        <v>0</v>
      </c>
      <c r="X236" s="43">
        <f>ROUND($B236*X$185,2)</f>
        <v>0</v>
      </c>
      <c r="Y236" s="43">
        <f>ROUND($B236*Y$185,2)</f>
        <v>0</v>
      </c>
      <c r="Z236" s="43">
        <f>ROUND($B236*Z$185,2)</f>
        <v>0</v>
      </c>
      <c r="AA236" s="43">
        <f>ROUND($B236*AA$185,2)</f>
        <v>0</v>
      </c>
      <c r="AB236" s="19">
        <f>SUM(U$185:AA$185)+(-V$185+V201)</f>
        <v>4.548E-3</v>
      </c>
      <c r="AC236" s="115" t="str">
        <f>+F236</f>
        <v>SH0</v>
      </c>
    </row>
    <row r="237" spans="1:29" ht="13" x14ac:dyDescent="0.3">
      <c r="A237" s="117"/>
      <c r="B237" s="128">
        <v>-1</v>
      </c>
      <c r="C237" s="9"/>
      <c r="F237" s="37"/>
      <c r="G237" s="120"/>
      <c r="H237" s="19"/>
      <c r="I237" s="19"/>
      <c r="J237" s="129"/>
      <c r="K237" s="129"/>
      <c r="L237" s="129"/>
      <c r="M237" s="107"/>
      <c r="N237" s="107"/>
      <c r="O237" s="107"/>
      <c r="P237" s="107"/>
      <c r="Q237" s="107"/>
      <c r="R237" s="107"/>
      <c r="S237" s="51">
        <v>0</v>
      </c>
      <c r="T237" s="120"/>
      <c r="U237" s="120"/>
      <c r="V237" s="107"/>
      <c r="W237" s="120"/>
      <c r="X237" s="120"/>
      <c r="Y237" s="120"/>
      <c r="Z237" s="120"/>
      <c r="AA237" s="120"/>
      <c r="AB237" s="19"/>
      <c r="AC237" s="130"/>
    </row>
    <row r="238" spans="1:29" ht="13" x14ac:dyDescent="0.3">
      <c r="A238" s="117"/>
      <c r="B238" s="111">
        <f>IF(AND('AES Indiana Sep 23 Bill Calc.'!$D$17="SH",'AES Indiana Sep 23 Bill Calc.'!$D$18="No",'AES Indiana Sep 23 Bill Calc.'!$D$20="Yes 2020"),'AES Indiana Sep 23 Bill Calc.'!$D$19,-1)</f>
        <v>-1</v>
      </c>
      <c r="C238" s="57" t="s">
        <v>172</v>
      </c>
      <c r="F238" s="37" t="s">
        <v>142</v>
      </c>
      <c r="G238" s="17">
        <f>SUM(J238:M238,O238:P238,R238:AA238)</f>
        <v>54.089999999999996</v>
      </c>
      <c r="H238" s="19" t="e">
        <f>IF(ISBLANK(B238),0,+#REF!/B238)</f>
        <v>#REF!</v>
      </c>
      <c r="I238" s="19"/>
      <c r="J238" s="101">
        <f>IF(ISBLANK(B238),0,+J$185)</f>
        <v>54.18</v>
      </c>
      <c r="K238" s="101">
        <f>ROUND($B238*K$185,2)</f>
        <v>-0.09</v>
      </c>
      <c r="L238" s="101"/>
      <c r="M238" s="42"/>
      <c r="N238" s="17">
        <f>SUM(K238:L238)</f>
        <v>-0.09</v>
      </c>
      <c r="O238" s="42"/>
      <c r="P238" s="42"/>
      <c r="Q238" s="42"/>
      <c r="R238" s="42"/>
      <c r="S238" s="43">
        <f>ROUND($B238*S$185*S237,2)</f>
        <v>0</v>
      </c>
      <c r="T238" s="43">
        <f>ROUND($B238*T$185,2)</f>
        <v>0</v>
      </c>
      <c r="U238" s="43">
        <f>ROUND($B238*U$185,2)</f>
        <v>0</v>
      </c>
      <c r="V238" s="42">
        <f>ROUND($B238*V$181,2)</f>
        <v>0</v>
      </c>
      <c r="W238" s="43">
        <f>ROUND($B238*W$185,2)</f>
        <v>0</v>
      </c>
      <c r="X238" s="43">
        <f>ROUND($B238*X$185,2)</f>
        <v>0</v>
      </c>
      <c r="Y238" s="43">
        <f>ROUND($B238*Y$185,2)</f>
        <v>0</v>
      </c>
      <c r="Z238" s="43">
        <f>ROUND($B238*Z$185,2)</f>
        <v>0</v>
      </c>
      <c r="AA238" s="43">
        <f>ROUND($B238*AA$185,2)</f>
        <v>0</v>
      </c>
      <c r="AB238" s="19">
        <f>SUM(U$185:AA$185)+(-V$185+V203)</f>
        <v>4.548E-3</v>
      </c>
      <c r="AC238" s="115" t="str">
        <f>+F238</f>
        <v>SH0</v>
      </c>
    </row>
    <row r="239" spans="1:29" ht="13" x14ac:dyDescent="0.3">
      <c r="A239" s="117"/>
      <c r="B239" s="128">
        <v>-1</v>
      </c>
      <c r="C239" s="119"/>
      <c r="F239" s="37"/>
      <c r="G239" s="120"/>
      <c r="H239" s="19"/>
      <c r="I239" s="19"/>
      <c r="J239" s="129"/>
      <c r="K239" s="129"/>
      <c r="L239" s="129"/>
      <c r="M239" s="107"/>
      <c r="N239" s="107"/>
      <c r="O239" s="107"/>
      <c r="P239" s="107"/>
      <c r="Q239" s="107"/>
      <c r="R239" s="107"/>
      <c r="S239" s="51">
        <v>1</v>
      </c>
      <c r="T239" s="120"/>
      <c r="U239" s="120"/>
      <c r="V239" s="107"/>
      <c r="W239" s="120"/>
      <c r="X239" s="120"/>
      <c r="Y239" s="120"/>
      <c r="Z239" s="120"/>
      <c r="AA239" s="120"/>
      <c r="AB239" s="19"/>
      <c r="AC239" s="130"/>
    </row>
    <row r="240" spans="1:29" ht="13" x14ac:dyDescent="0.3">
      <c r="A240" s="117"/>
      <c r="B240" s="111">
        <f>IF(AND('AES Indiana Sep 23 Bill Calc.'!$D$17="SH",'AES Indiana Sep 23 Bill Calc.'!$D$18="Yes 100%",'AES Indiana Sep 23 Bill Calc.'!$D$20="Yes 2021"),'AES Indiana Sep 23 Bill Calc.'!$D$19,-1)</f>
        <v>-1</v>
      </c>
      <c r="C240" s="1" t="s">
        <v>73</v>
      </c>
      <c r="F240" s="37" t="s">
        <v>180</v>
      </c>
      <c r="G240" s="17">
        <f>SUM(J240:M240,O240:P240,R240:AA240)</f>
        <v>54.089999999999996</v>
      </c>
      <c r="H240" s="19" t="e">
        <f>IF(ISBLANK(B240),0,+#REF!/B240)</f>
        <v>#REF!</v>
      </c>
      <c r="I240" s="19"/>
      <c r="J240" s="101">
        <f>IF(ISBLANK(B240),0,+J$185)</f>
        <v>54.18</v>
      </c>
      <c r="K240" s="101">
        <f>ROUND($B240*K$185,2)</f>
        <v>-0.09</v>
      </c>
      <c r="L240" s="101"/>
      <c r="M240" s="42"/>
      <c r="N240" s="17">
        <f>SUM(K240:L240)</f>
        <v>-0.09</v>
      </c>
      <c r="O240" s="42"/>
      <c r="P240" s="42"/>
      <c r="Q240" s="42"/>
      <c r="R240" s="42"/>
      <c r="S240" s="43">
        <f>ROUND($B240*S$185*S239,2)</f>
        <v>0</v>
      </c>
      <c r="T240" s="43">
        <f>ROUND($B240*T$185,2)</f>
        <v>0</v>
      </c>
      <c r="U240" s="43">
        <f>ROUND($B240*U$185,2)</f>
        <v>0</v>
      </c>
      <c r="V240" s="42">
        <f>ROUND($B240*V$182,2)</f>
        <v>0</v>
      </c>
      <c r="W240" s="43">
        <f>ROUND($B240*W$185,2)</f>
        <v>0</v>
      </c>
      <c r="X240" s="43">
        <f>ROUND($B240*X$185,2)</f>
        <v>0</v>
      </c>
      <c r="Y240" s="43">
        <f>ROUND($B240*Y$185,2)</f>
        <v>0</v>
      </c>
      <c r="Z240" s="43">
        <f>ROUND($B240*Z$185,2)</f>
        <v>0</v>
      </c>
      <c r="AA240" s="43">
        <f>ROUND($B240*AA$185,2)</f>
        <v>0</v>
      </c>
      <c r="AB240" s="19">
        <f>SUM(U$185:AA$185)+(-V$185+V205)</f>
        <v>4.548E-3</v>
      </c>
      <c r="AC240" s="115" t="str">
        <f>+F240</f>
        <v>SH1</v>
      </c>
    </row>
    <row r="241" spans="1:29" ht="13" x14ac:dyDescent="0.3">
      <c r="A241" s="117"/>
      <c r="B241" s="128">
        <v>-1</v>
      </c>
      <c r="C241" s="9"/>
      <c r="F241" s="37"/>
      <c r="G241" s="120"/>
      <c r="H241" s="19"/>
      <c r="I241" s="19"/>
      <c r="J241" s="129"/>
      <c r="K241" s="129"/>
      <c r="L241" s="129"/>
      <c r="M241" s="107"/>
      <c r="N241" s="107"/>
      <c r="O241" s="107"/>
      <c r="P241" s="107"/>
      <c r="Q241" s="107"/>
      <c r="R241" s="107"/>
      <c r="S241" s="51">
        <v>0.5</v>
      </c>
      <c r="T241" s="120"/>
      <c r="U241" s="120"/>
      <c r="V241" s="107"/>
      <c r="W241" s="120"/>
      <c r="X241" s="120"/>
      <c r="Y241" s="120"/>
      <c r="Z241" s="120"/>
      <c r="AA241" s="120"/>
      <c r="AB241" s="19"/>
      <c r="AC241" s="130"/>
    </row>
    <row r="242" spans="1:29" ht="13" x14ac:dyDescent="0.3">
      <c r="A242" s="117"/>
      <c r="B242" s="111">
        <f>IF(AND('AES Indiana Sep 23 Bill Calc.'!$D$17="SH",'AES Indiana Sep 23 Bill Calc.'!$D$18="Yes 50%",'AES Indiana Sep 23 Bill Calc.'!$D$20="Yes 2021"),'AES Indiana Sep 23 Bill Calc.'!$D$19,-1)</f>
        <v>-1</v>
      </c>
      <c r="C242" s="57" t="s">
        <v>171</v>
      </c>
      <c r="F242" s="37" t="s">
        <v>180</v>
      </c>
      <c r="G242" s="17">
        <f>SUM(J242:M242,O242:P242,R242:AA242)</f>
        <v>54.089999999999996</v>
      </c>
      <c r="H242" s="19" t="e">
        <f>IF(ISBLANK(B242),0,+#REF!/B242)</f>
        <v>#REF!</v>
      </c>
      <c r="I242" s="19"/>
      <c r="J242" s="101">
        <f>IF(ISBLANK(B242),0,+J$185)</f>
        <v>54.18</v>
      </c>
      <c r="K242" s="101">
        <f>ROUND($B242*K$185,2)</f>
        <v>-0.09</v>
      </c>
      <c r="L242" s="101"/>
      <c r="M242" s="42"/>
      <c r="N242" s="17">
        <f>SUM(K242:L242)</f>
        <v>-0.09</v>
      </c>
      <c r="O242" s="42"/>
      <c r="P242" s="42"/>
      <c r="Q242" s="42"/>
      <c r="R242" s="42"/>
      <c r="S242" s="43">
        <f>ROUND($B242*S$185*S241,2)</f>
        <v>0</v>
      </c>
      <c r="T242" s="43">
        <f>ROUND($B242*T$185,2)</f>
        <v>0</v>
      </c>
      <c r="U242" s="43">
        <f>ROUND($B242*U$185,2)</f>
        <v>0</v>
      </c>
      <c r="V242" s="42">
        <f>ROUND($B242*V$182,2)</f>
        <v>0</v>
      </c>
      <c r="W242" s="43">
        <f>ROUND($B242*W$185,2)</f>
        <v>0</v>
      </c>
      <c r="X242" s="43">
        <f>ROUND($B242*X$185,2)</f>
        <v>0</v>
      </c>
      <c r="Y242" s="43">
        <f>ROUND($B242*Y$185,2)</f>
        <v>0</v>
      </c>
      <c r="Z242" s="43">
        <f>ROUND($B242*Z$185,2)</f>
        <v>0</v>
      </c>
      <c r="AA242" s="43">
        <f>ROUND($B242*AA$185,2)</f>
        <v>0</v>
      </c>
      <c r="AB242" s="19">
        <f>SUM(U$185:AA$185)+(-V$185+V207)</f>
        <v>4.548E-3</v>
      </c>
      <c r="AC242" s="115" t="str">
        <f>+F242</f>
        <v>SH1</v>
      </c>
    </row>
    <row r="243" spans="1:29" ht="13" x14ac:dyDescent="0.3">
      <c r="A243" s="117"/>
      <c r="B243" s="128">
        <v>-1</v>
      </c>
      <c r="C243" s="9"/>
      <c r="F243" s="37"/>
      <c r="G243" s="120"/>
      <c r="H243" s="19"/>
      <c r="I243" s="19"/>
      <c r="J243" s="129"/>
      <c r="K243" s="129"/>
      <c r="L243" s="129"/>
      <c r="M243" s="107"/>
      <c r="N243" s="107"/>
      <c r="O243" s="107"/>
      <c r="P243" s="107"/>
      <c r="Q243" s="107"/>
      <c r="R243" s="107"/>
      <c r="S243" s="51">
        <v>0.25</v>
      </c>
      <c r="T243" s="120"/>
      <c r="U243" s="120"/>
      <c r="V243" s="107"/>
      <c r="W243" s="120"/>
      <c r="X243" s="120"/>
      <c r="Y243" s="120"/>
      <c r="Z243" s="120"/>
      <c r="AA243" s="120"/>
      <c r="AB243" s="19"/>
      <c r="AC243" s="130"/>
    </row>
    <row r="244" spans="1:29" ht="13" x14ac:dyDescent="0.3">
      <c r="A244" s="117"/>
      <c r="B244" s="111">
        <f>IF(AND('AES Indiana Sep 23 Bill Calc.'!$D$17="SH",'AES Indiana Sep 23 Bill Calc.'!$D$18="Yes 25%",'AES Indiana Sep 23 Bill Calc.'!$D$20="Yes 2021"),'AES Indiana Sep 23 Bill Calc.'!$D$19,-1)</f>
        <v>-1</v>
      </c>
      <c r="C244" s="57" t="s">
        <v>158</v>
      </c>
      <c r="F244" s="37" t="s">
        <v>180</v>
      </c>
      <c r="G244" s="17">
        <f>SUM(J244:M244,O244:P244,R244:AA244)</f>
        <v>54.089999999999996</v>
      </c>
      <c r="H244" s="19" t="e">
        <f>IF(ISBLANK(B244),0,+#REF!/B244)</f>
        <v>#REF!</v>
      </c>
      <c r="I244" s="19"/>
      <c r="J244" s="101">
        <f>IF(ISBLANK(B244),0,+J$185)</f>
        <v>54.18</v>
      </c>
      <c r="K244" s="101">
        <f>ROUND($B244*K$185,2)</f>
        <v>-0.09</v>
      </c>
      <c r="L244" s="101"/>
      <c r="M244" s="42"/>
      <c r="N244" s="17">
        <f>SUM(K244:L244)</f>
        <v>-0.09</v>
      </c>
      <c r="O244" s="42"/>
      <c r="P244" s="42"/>
      <c r="Q244" s="42"/>
      <c r="R244" s="42"/>
      <c r="S244" s="43">
        <f>ROUND($B244*S$185*S243,2)</f>
        <v>0</v>
      </c>
      <c r="T244" s="43">
        <f>ROUND($B244*T$185,2)</f>
        <v>0</v>
      </c>
      <c r="U244" s="43">
        <f>ROUND($B244*U$185,2)</f>
        <v>0</v>
      </c>
      <c r="V244" s="42">
        <f>ROUND($B244*V$182,2)</f>
        <v>0</v>
      </c>
      <c r="W244" s="43">
        <f>ROUND($B244*W$185,2)</f>
        <v>0</v>
      </c>
      <c r="X244" s="43">
        <f>ROUND($B244*X$185,2)</f>
        <v>0</v>
      </c>
      <c r="Y244" s="43">
        <f>ROUND($B244*Y$185,2)</f>
        <v>0</v>
      </c>
      <c r="Z244" s="43">
        <f>ROUND($B244*Z$185,2)</f>
        <v>0</v>
      </c>
      <c r="AA244" s="43">
        <f>ROUND($B244*AA$185,2)</f>
        <v>0</v>
      </c>
      <c r="AB244" s="19">
        <f>SUM(U$185:AA$185)+(-V$185+V209)</f>
        <v>4.548E-3</v>
      </c>
      <c r="AC244" s="115" t="str">
        <f>+F244</f>
        <v>SH1</v>
      </c>
    </row>
    <row r="245" spans="1:29" ht="13" x14ac:dyDescent="0.3">
      <c r="A245" s="117"/>
      <c r="B245" s="128">
        <v>-1</v>
      </c>
      <c r="C245" s="9"/>
      <c r="F245" s="37"/>
      <c r="G245" s="120"/>
      <c r="H245" s="19"/>
      <c r="I245" s="19"/>
      <c r="J245" s="129"/>
      <c r="K245" s="129"/>
      <c r="L245" s="129"/>
      <c r="M245" s="107"/>
      <c r="N245" s="107"/>
      <c r="O245" s="107"/>
      <c r="P245" s="107"/>
      <c r="Q245" s="107"/>
      <c r="R245" s="107"/>
      <c r="S245" s="51">
        <v>0.1</v>
      </c>
      <c r="T245" s="120"/>
      <c r="U245" s="120"/>
      <c r="V245" s="107"/>
      <c r="W245" s="120"/>
      <c r="X245" s="120"/>
      <c r="Y245" s="120"/>
      <c r="Z245" s="120"/>
      <c r="AA245" s="120"/>
      <c r="AB245" s="19"/>
      <c r="AC245" s="130"/>
    </row>
    <row r="246" spans="1:29" ht="13" x14ac:dyDescent="0.3">
      <c r="A246" s="117"/>
      <c r="B246" s="111">
        <f>IF(AND('AES Indiana Sep 23 Bill Calc.'!$D$17="SH",'AES Indiana Sep 23 Bill Calc.'!$D$18="Yes 10%",'AES Indiana Sep 23 Bill Calc.'!$D$20="Yes 2021"),'AES Indiana Sep 23 Bill Calc.'!$D$19,-1)</f>
        <v>-1</v>
      </c>
      <c r="C246" s="57" t="s">
        <v>173</v>
      </c>
      <c r="F246" s="37" t="s">
        <v>180</v>
      </c>
      <c r="G246" s="17">
        <f>SUM(J246:M246,O246:P246,R246:AA246)</f>
        <v>54.089999999999996</v>
      </c>
      <c r="H246" s="19" t="e">
        <f>IF(ISBLANK(B246),0,+#REF!/B246)</f>
        <v>#REF!</v>
      </c>
      <c r="I246" s="19"/>
      <c r="J246" s="101">
        <f>IF(ISBLANK(B246),0,+J$185)</f>
        <v>54.18</v>
      </c>
      <c r="K246" s="101">
        <f>ROUND($B246*K$185,2)</f>
        <v>-0.09</v>
      </c>
      <c r="L246" s="101"/>
      <c r="M246" s="42"/>
      <c r="N246" s="17">
        <f>SUM(K246:L246)</f>
        <v>-0.09</v>
      </c>
      <c r="O246" s="42"/>
      <c r="P246" s="42"/>
      <c r="Q246" s="42"/>
      <c r="R246" s="42"/>
      <c r="S246" s="43">
        <f>ROUND($B246*S$185*S245,2)</f>
        <v>0</v>
      </c>
      <c r="T246" s="43">
        <f>ROUND($B246*T$185,2)</f>
        <v>0</v>
      </c>
      <c r="U246" s="43">
        <f>ROUND($B246*U$185,2)</f>
        <v>0</v>
      </c>
      <c r="V246" s="42">
        <f>ROUND($B246*V$182,2)</f>
        <v>0</v>
      </c>
      <c r="W246" s="43">
        <f>ROUND($B246*W$185,2)</f>
        <v>0</v>
      </c>
      <c r="X246" s="43">
        <f>ROUND($B246*X$185,2)</f>
        <v>0</v>
      </c>
      <c r="Y246" s="43">
        <f>ROUND($B246*Y$185,2)</f>
        <v>0</v>
      </c>
      <c r="Z246" s="43">
        <f>ROUND($B246*Z$185,2)</f>
        <v>0</v>
      </c>
      <c r="AA246" s="43">
        <f>ROUND($B246*AA$185,2)</f>
        <v>0</v>
      </c>
      <c r="AB246" s="19">
        <f>SUM(U$185:AA$185)+(-V$185+V211)</f>
        <v>4.548E-3</v>
      </c>
      <c r="AC246" s="115" t="str">
        <f>+F246</f>
        <v>SH1</v>
      </c>
    </row>
    <row r="247" spans="1:29" ht="13" x14ac:dyDescent="0.3">
      <c r="A247" s="117"/>
      <c r="B247" s="128">
        <v>-1</v>
      </c>
      <c r="C247" s="9"/>
      <c r="F247" s="37"/>
      <c r="G247" s="120"/>
      <c r="H247" s="19"/>
      <c r="I247" s="19"/>
      <c r="J247" s="129"/>
      <c r="K247" s="129"/>
      <c r="L247" s="129"/>
      <c r="M247" s="107"/>
      <c r="N247" s="107"/>
      <c r="O247" s="107"/>
      <c r="P247" s="107"/>
      <c r="Q247" s="107"/>
      <c r="R247" s="107"/>
      <c r="S247" s="51">
        <v>0</v>
      </c>
      <c r="T247" s="120"/>
      <c r="U247" s="120"/>
      <c r="V247" s="107"/>
      <c r="W247" s="120"/>
      <c r="X247" s="120"/>
      <c r="Y247" s="120"/>
      <c r="Z247" s="120"/>
      <c r="AA247" s="120"/>
      <c r="AB247" s="19"/>
      <c r="AC247" s="130"/>
    </row>
    <row r="248" spans="1:29" ht="13" x14ac:dyDescent="0.3">
      <c r="A248" s="117"/>
      <c r="B248" s="111">
        <f>IF(AND('AES Indiana Sep 23 Bill Calc.'!$D$17="SH",'AES Indiana Sep 23 Bill Calc.'!$D$18="No",'AES Indiana Sep 23 Bill Calc.'!$D$20="Yes 2021"),'AES Indiana Sep 23 Bill Calc.'!$D$19,-1)</f>
        <v>-1</v>
      </c>
      <c r="C248" s="57" t="s">
        <v>172</v>
      </c>
      <c r="F248" s="37" t="s">
        <v>180</v>
      </c>
      <c r="G248" s="17">
        <f>SUM(J248:M248,O248:P248,R248:AA248)</f>
        <v>54.089999999999996</v>
      </c>
      <c r="H248" s="19" t="e">
        <f>IF(ISBLANK(B248),0,+#REF!/B248)</f>
        <v>#REF!</v>
      </c>
      <c r="I248" s="19"/>
      <c r="J248" s="101">
        <f>IF(ISBLANK(B248),0,+J$185)</f>
        <v>54.18</v>
      </c>
      <c r="K248" s="101">
        <f>ROUND($B248*K$185,2)</f>
        <v>-0.09</v>
      </c>
      <c r="L248" s="101"/>
      <c r="M248" s="42"/>
      <c r="N248" s="17">
        <f>SUM(K248:L248)</f>
        <v>-0.09</v>
      </c>
      <c r="O248" s="42"/>
      <c r="P248" s="42"/>
      <c r="Q248" s="42"/>
      <c r="R248" s="42"/>
      <c r="S248" s="43">
        <f>ROUND($B248*S$185*S247,2)</f>
        <v>0</v>
      </c>
      <c r="T248" s="43">
        <f>ROUND($B248*T$185,2)</f>
        <v>0</v>
      </c>
      <c r="U248" s="43">
        <f>ROUND($B248*U$185,2)</f>
        <v>0</v>
      </c>
      <c r="V248" s="42">
        <f>ROUND($B248*V$182,2)</f>
        <v>0</v>
      </c>
      <c r="W248" s="43">
        <f>ROUND($B248*W$185,2)</f>
        <v>0</v>
      </c>
      <c r="X248" s="43">
        <f>ROUND($B248*X$185,2)</f>
        <v>0</v>
      </c>
      <c r="Y248" s="43">
        <f>ROUND($B248*Y$185,2)</f>
        <v>0</v>
      </c>
      <c r="Z248" s="43">
        <f>ROUND($B248*Z$185,2)</f>
        <v>0</v>
      </c>
      <c r="AA248" s="43">
        <f>ROUND($B248*AA$185,2)</f>
        <v>0</v>
      </c>
      <c r="AB248" s="19">
        <f>SUM(U$185:AA$185)+(-V$185+V213)</f>
        <v>4.548E-3</v>
      </c>
      <c r="AC248" s="115" t="str">
        <f>+F248</f>
        <v>SH1</v>
      </c>
    </row>
    <row r="249" spans="1:29" ht="13" x14ac:dyDescent="0.3">
      <c r="A249" s="117"/>
      <c r="B249" s="128">
        <v>-1</v>
      </c>
      <c r="C249" s="119"/>
      <c r="F249" s="37"/>
      <c r="G249" s="120"/>
      <c r="H249" s="19"/>
      <c r="I249" s="19"/>
      <c r="J249" s="129"/>
      <c r="K249" s="129"/>
      <c r="L249" s="129"/>
      <c r="M249" s="107"/>
      <c r="N249" s="107"/>
      <c r="O249" s="107"/>
      <c r="P249" s="107"/>
      <c r="Q249" s="107"/>
      <c r="R249" s="107"/>
      <c r="S249" s="51">
        <v>1</v>
      </c>
      <c r="T249" s="120"/>
      <c r="U249" s="120"/>
      <c r="V249" s="107"/>
      <c r="W249" s="120"/>
      <c r="X249" s="120"/>
      <c r="Y249" s="120"/>
      <c r="Z249" s="120"/>
      <c r="AA249" s="120"/>
      <c r="AB249" s="19"/>
      <c r="AC249" s="130"/>
    </row>
    <row r="250" spans="1:29" ht="13" x14ac:dyDescent="0.3">
      <c r="A250" s="117"/>
      <c r="B250" s="111">
        <f>IF(AND('AES Indiana Sep 23 Bill Calc.'!$D$17="SH",'AES Indiana Sep 23 Bill Calc.'!$D$18="Yes 100%",'AES Indiana Sep 23 Bill Calc.'!$D$20="Yes 2022"),'AES Indiana Sep 23 Bill Calc.'!$D$19,-1)</f>
        <v>-1</v>
      </c>
      <c r="C250" s="1" t="s">
        <v>73</v>
      </c>
      <c r="F250" s="37" t="s">
        <v>181</v>
      </c>
      <c r="G250" s="17">
        <f>SUM(J250:M250,O250:P250,R250:AA250)</f>
        <v>54.089999999999996</v>
      </c>
      <c r="H250" s="19" t="e">
        <f>IF(ISBLANK(B250),0,+#REF!/B250)</f>
        <v>#REF!</v>
      </c>
      <c r="I250" s="19"/>
      <c r="J250" s="101">
        <f>IF(ISBLANK(B250),0,+J$185)</f>
        <v>54.18</v>
      </c>
      <c r="K250" s="101">
        <f>ROUND($B250*K$185,2)</f>
        <v>-0.09</v>
      </c>
      <c r="L250" s="101"/>
      <c r="M250" s="42"/>
      <c r="N250" s="17">
        <f>SUM(K250:L250)</f>
        <v>-0.09</v>
      </c>
      <c r="O250" s="42"/>
      <c r="P250" s="42"/>
      <c r="Q250" s="42"/>
      <c r="R250" s="42"/>
      <c r="S250" s="43">
        <f>ROUND($B250*S$185*S249,2)</f>
        <v>0</v>
      </c>
      <c r="T250" s="43">
        <f>ROUND($B250*T$185,2)</f>
        <v>0</v>
      </c>
      <c r="U250" s="43">
        <f>ROUND($B250*U$185,2)</f>
        <v>0</v>
      </c>
      <c r="V250" s="42">
        <f>ROUND($B250*V$183,2)</f>
        <v>0</v>
      </c>
      <c r="W250" s="43">
        <f>ROUND($B250*W$185,2)</f>
        <v>0</v>
      </c>
      <c r="X250" s="43">
        <f>ROUND($B250*X$185,2)</f>
        <v>0</v>
      </c>
      <c r="Y250" s="43">
        <f>ROUND($B250*Y$185,2)</f>
        <v>0</v>
      </c>
      <c r="Z250" s="43">
        <f>ROUND($B250*Z$185,2)</f>
        <v>0</v>
      </c>
      <c r="AA250" s="43">
        <f>ROUND($B250*AA$185,2)</f>
        <v>0</v>
      </c>
      <c r="AB250" s="19">
        <f>SUM(U$185:AA$185)+(-V$185+V215)</f>
        <v>4.548E-3</v>
      </c>
      <c r="AC250" s="115" t="str">
        <f>+F250</f>
        <v>SH2</v>
      </c>
    </row>
    <row r="251" spans="1:29" ht="13" x14ac:dyDescent="0.3">
      <c r="A251" s="117"/>
      <c r="B251" s="128">
        <v>-1</v>
      </c>
      <c r="C251" s="9"/>
      <c r="F251" s="37"/>
      <c r="G251" s="120"/>
      <c r="H251" s="19"/>
      <c r="I251" s="19"/>
      <c r="J251" s="129"/>
      <c r="K251" s="129"/>
      <c r="L251" s="129"/>
      <c r="M251" s="107"/>
      <c r="N251" s="107"/>
      <c r="O251" s="107"/>
      <c r="P251" s="107"/>
      <c r="Q251" s="107"/>
      <c r="R251" s="107"/>
      <c r="S251" s="51">
        <v>0.5</v>
      </c>
      <c r="T251" s="120"/>
      <c r="U251" s="120"/>
      <c r="V251" s="107"/>
      <c r="W251" s="120"/>
      <c r="X251" s="120"/>
      <c r="Y251" s="120"/>
      <c r="Z251" s="120"/>
      <c r="AA251" s="120"/>
      <c r="AB251" s="19"/>
      <c r="AC251" s="130"/>
    </row>
    <row r="252" spans="1:29" ht="13" x14ac:dyDescent="0.3">
      <c r="A252" s="117"/>
      <c r="B252" s="111">
        <f>IF(AND('AES Indiana Sep 23 Bill Calc.'!$D$17="SH",'AES Indiana Sep 23 Bill Calc.'!$D$18="Yes 50%",'AES Indiana Sep 23 Bill Calc.'!$D$20="Yes 2022"),'AES Indiana Sep 23 Bill Calc.'!$D$19,-1)</f>
        <v>-1</v>
      </c>
      <c r="C252" s="57" t="s">
        <v>171</v>
      </c>
      <c r="F252" s="37" t="s">
        <v>181</v>
      </c>
      <c r="G252" s="17">
        <f>SUM(J252:M252,O252:P252,R252:AA252)</f>
        <v>54.089999999999996</v>
      </c>
      <c r="H252" s="19" t="e">
        <f>IF(ISBLANK(B252),0,+#REF!/B252)</f>
        <v>#REF!</v>
      </c>
      <c r="I252" s="19"/>
      <c r="J252" s="101">
        <f>IF(ISBLANK(B252),0,+J$185)</f>
        <v>54.18</v>
      </c>
      <c r="K252" s="101">
        <f>ROUND($B252*K$185,2)</f>
        <v>-0.09</v>
      </c>
      <c r="L252" s="101"/>
      <c r="M252" s="42"/>
      <c r="N252" s="17">
        <f>SUM(K252:L252)</f>
        <v>-0.09</v>
      </c>
      <c r="O252" s="42"/>
      <c r="P252" s="42"/>
      <c r="Q252" s="42"/>
      <c r="R252" s="42"/>
      <c r="S252" s="43">
        <f>ROUND($B252*S$185*S251,2)</f>
        <v>0</v>
      </c>
      <c r="T252" s="43">
        <f>ROUND($B252*T$185,2)</f>
        <v>0</v>
      </c>
      <c r="U252" s="43">
        <f>ROUND($B252*U$185,2)</f>
        <v>0</v>
      </c>
      <c r="V252" s="42">
        <f>ROUND($B252*V$183,2)</f>
        <v>0</v>
      </c>
      <c r="W252" s="43">
        <f>ROUND($B252*W$185,2)</f>
        <v>0</v>
      </c>
      <c r="X252" s="43">
        <f>ROUND($B252*X$185,2)</f>
        <v>0</v>
      </c>
      <c r="Y252" s="43">
        <f>ROUND($B252*Y$185,2)</f>
        <v>0</v>
      </c>
      <c r="Z252" s="43">
        <f>ROUND($B252*Z$185,2)</f>
        <v>0</v>
      </c>
      <c r="AA252" s="43">
        <f>ROUND($B252*AA$185,2)</f>
        <v>0</v>
      </c>
      <c r="AB252" s="19">
        <f>SUM(U$185:AA$185)+(-V$185+V217)</f>
        <v>4.548E-3</v>
      </c>
      <c r="AC252" s="115" t="str">
        <f>+F252</f>
        <v>SH2</v>
      </c>
    </row>
    <row r="253" spans="1:29" ht="13" x14ac:dyDescent="0.3">
      <c r="A253" s="117"/>
      <c r="B253" s="128">
        <v>-1</v>
      </c>
      <c r="C253" s="9"/>
      <c r="F253" s="37"/>
      <c r="G253" s="120"/>
      <c r="H253" s="19"/>
      <c r="I253" s="19"/>
      <c r="J253" s="129"/>
      <c r="K253" s="129"/>
      <c r="L253" s="129"/>
      <c r="M253" s="107"/>
      <c r="N253" s="107"/>
      <c r="O253" s="107"/>
      <c r="P253" s="107"/>
      <c r="Q253" s="107"/>
      <c r="R253" s="107"/>
      <c r="S253" s="51">
        <v>0.25</v>
      </c>
      <c r="T253" s="120"/>
      <c r="U253" s="120"/>
      <c r="V253" s="107"/>
      <c r="W253" s="120"/>
      <c r="X253" s="120"/>
      <c r="Y253" s="120"/>
      <c r="Z253" s="120"/>
      <c r="AA253" s="120"/>
      <c r="AB253" s="19"/>
      <c r="AC253" s="130"/>
    </row>
    <row r="254" spans="1:29" ht="13" x14ac:dyDescent="0.3">
      <c r="A254" s="117"/>
      <c r="B254" s="111">
        <f>IF(AND('AES Indiana Sep 23 Bill Calc.'!$D$17="SH",'AES Indiana Sep 23 Bill Calc.'!$D$18="Yes 25%",'AES Indiana Sep 23 Bill Calc.'!$D$20="Yes 2022"),'AES Indiana Sep 23 Bill Calc.'!$D$19,-1)</f>
        <v>-1</v>
      </c>
      <c r="C254" s="57" t="s">
        <v>158</v>
      </c>
      <c r="F254" s="37" t="s">
        <v>181</v>
      </c>
      <c r="G254" s="17">
        <f>SUM(J254:M254,O254:P254,R254:AA254)</f>
        <v>54.089999999999996</v>
      </c>
      <c r="H254" s="19" t="e">
        <f>IF(ISBLANK(B254),0,+#REF!/B254)</f>
        <v>#REF!</v>
      </c>
      <c r="I254" s="19"/>
      <c r="J254" s="101">
        <f>IF(ISBLANK(B254),0,+J$185)</f>
        <v>54.18</v>
      </c>
      <c r="K254" s="101">
        <f>ROUND($B254*K$185,2)</f>
        <v>-0.09</v>
      </c>
      <c r="L254" s="101"/>
      <c r="M254" s="42"/>
      <c r="N254" s="17">
        <f>SUM(K254:L254)</f>
        <v>-0.09</v>
      </c>
      <c r="O254" s="42"/>
      <c r="P254" s="42"/>
      <c r="Q254" s="42"/>
      <c r="R254" s="42"/>
      <c r="S254" s="43">
        <f>ROUND($B254*S$185*S253,2)</f>
        <v>0</v>
      </c>
      <c r="T254" s="43">
        <f>ROUND($B254*T$185,2)</f>
        <v>0</v>
      </c>
      <c r="U254" s="43">
        <f>ROUND($B254*U$185,2)</f>
        <v>0</v>
      </c>
      <c r="V254" s="42">
        <f>ROUND($B254*V$183,2)</f>
        <v>0</v>
      </c>
      <c r="W254" s="43">
        <f>ROUND($B254*W$185,2)</f>
        <v>0</v>
      </c>
      <c r="X254" s="43">
        <f>ROUND($B254*X$185,2)</f>
        <v>0</v>
      </c>
      <c r="Y254" s="43">
        <f>ROUND($B254*Y$185,2)</f>
        <v>0</v>
      </c>
      <c r="Z254" s="43">
        <f>ROUND($B254*Z$185,2)</f>
        <v>0</v>
      </c>
      <c r="AA254" s="43">
        <f>ROUND($B254*AA$185,2)</f>
        <v>0</v>
      </c>
      <c r="AB254" s="19">
        <f>SUM(U$185:AA$185)+(-V$185+V219)</f>
        <v>4.548E-3</v>
      </c>
      <c r="AC254" s="115" t="str">
        <f>+F254</f>
        <v>SH2</v>
      </c>
    </row>
    <row r="255" spans="1:29" ht="13" x14ac:dyDescent="0.3">
      <c r="A255" s="117"/>
      <c r="B255" s="128">
        <v>-1</v>
      </c>
      <c r="C255" s="9"/>
      <c r="F255" s="37"/>
      <c r="G255" s="120"/>
      <c r="H255" s="19"/>
      <c r="I255" s="19"/>
      <c r="J255" s="129"/>
      <c r="K255" s="129"/>
      <c r="L255" s="129"/>
      <c r="M255" s="107"/>
      <c r="N255" s="107"/>
      <c r="O255" s="107"/>
      <c r="P255" s="107"/>
      <c r="Q255" s="107"/>
      <c r="R255" s="107"/>
      <c r="S255" s="51">
        <v>0.1</v>
      </c>
      <c r="T255" s="120"/>
      <c r="U255" s="120"/>
      <c r="V255" s="107"/>
      <c r="W255" s="120"/>
      <c r="X255" s="120"/>
      <c r="Y255" s="120"/>
      <c r="Z255" s="120"/>
      <c r="AA255" s="120"/>
      <c r="AB255" s="19"/>
      <c r="AC255" s="130"/>
    </row>
    <row r="256" spans="1:29" ht="13" x14ac:dyDescent="0.3">
      <c r="A256" s="117"/>
      <c r="B256" s="111">
        <f>IF(AND('AES Indiana Sep 23 Bill Calc.'!$D$17="SH",'AES Indiana Sep 23 Bill Calc.'!$D$18="Yes 10%",'AES Indiana Sep 23 Bill Calc.'!$D$20="Yes 2022"),'AES Indiana Sep 23 Bill Calc.'!$D$19,-1)</f>
        <v>-1</v>
      </c>
      <c r="C256" s="57" t="s">
        <v>173</v>
      </c>
      <c r="F256" s="37" t="s">
        <v>181</v>
      </c>
      <c r="G256" s="17">
        <f>SUM(J256:M256,O256:P256,R256:AA256)</f>
        <v>54.089999999999996</v>
      </c>
      <c r="H256" s="19" t="e">
        <f>IF(ISBLANK(B256),0,+#REF!/B256)</f>
        <v>#REF!</v>
      </c>
      <c r="I256" s="19"/>
      <c r="J256" s="101">
        <f>IF(ISBLANK(B256),0,+J$185)</f>
        <v>54.18</v>
      </c>
      <c r="K256" s="101">
        <f>ROUND($B256*K$185,2)</f>
        <v>-0.09</v>
      </c>
      <c r="L256" s="101"/>
      <c r="M256" s="42"/>
      <c r="N256" s="17">
        <f>SUM(K256:L256)</f>
        <v>-0.09</v>
      </c>
      <c r="O256" s="42"/>
      <c r="P256" s="42"/>
      <c r="Q256" s="42"/>
      <c r="R256" s="42"/>
      <c r="S256" s="43">
        <f>ROUND($B256*S$185*S255,2)</f>
        <v>0</v>
      </c>
      <c r="T256" s="43">
        <f>ROUND($B256*T$185,2)</f>
        <v>0</v>
      </c>
      <c r="U256" s="43">
        <f>ROUND($B256*U$185,2)</f>
        <v>0</v>
      </c>
      <c r="V256" s="42">
        <f>ROUND($B256*V$183,2)</f>
        <v>0</v>
      </c>
      <c r="W256" s="43">
        <f>ROUND($B256*W$185,2)</f>
        <v>0</v>
      </c>
      <c r="X256" s="43">
        <f>ROUND($B256*X$185,2)</f>
        <v>0</v>
      </c>
      <c r="Y256" s="43">
        <f>ROUND($B256*Y$185,2)</f>
        <v>0</v>
      </c>
      <c r="Z256" s="43">
        <f>ROUND($B256*Z$185,2)</f>
        <v>0</v>
      </c>
      <c r="AA256" s="43">
        <f>ROUND($B256*AA$185,2)</f>
        <v>0</v>
      </c>
      <c r="AB256" s="19">
        <f>SUM(U$185:AA$185)+(-V$185+V221)</f>
        <v>4.548E-3</v>
      </c>
      <c r="AC256" s="115" t="str">
        <f>+F256</f>
        <v>SH2</v>
      </c>
    </row>
    <row r="257" spans="1:29" ht="13" x14ac:dyDescent="0.3">
      <c r="A257" s="117"/>
      <c r="B257" s="128">
        <v>-1</v>
      </c>
      <c r="C257" s="9"/>
      <c r="F257" s="37"/>
      <c r="G257" s="120"/>
      <c r="H257" s="19"/>
      <c r="I257" s="19"/>
      <c r="J257" s="129"/>
      <c r="K257" s="129"/>
      <c r="L257" s="129"/>
      <c r="M257" s="107"/>
      <c r="N257" s="107"/>
      <c r="O257" s="107"/>
      <c r="P257" s="107"/>
      <c r="Q257" s="107"/>
      <c r="R257" s="107"/>
      <c r="S257" s="51">
        <v>0</v>
      </c>
      <c r="T257" s="120"/>
      <c r="U257" s="120"/>
      <c r="V257" s="107"/>
      <c r="W257" s="120"/>
      <c r="X257" s="120"/>
      <c r="Y257" s="120"/>
      <c r="Z257" s="120"/>
      <c r="AA257" s="120"/>
      <c r="AB257" s="19"/>
      <c r="AC257" s="130"/>
    </row>
    <row r="258" spans="1:29" ht="13" x14ac:dyDescent="0.3">
      <c r="A258" s="117"/>
      <c r="B258" s="111">
        <f>IF(AND('AES Indiana Sep 23 Bill Calc.'!$D$17="SH",'AES Indiana Sep 23 Bill Calc.'!$D$18="No",'AES Indiana Sep 23 Bill Calc.'!$D$20="Yes 2022"),'AES Indiana Sep 23 Bill Calc.'!$D$19,-1)</f>
        <v>-1</v>
      </c>
      <c r="C258" s="57" t="s">
        <v>172</v>
      </c>
      <c r="F258" s="37" t="s">
        <v>181</v>
      </c>
      <c r="G258" s="17">
        <f>SUM(J258:M258,O258:P258,R258:AA258)</f>
        <v>54.089999999999996</v>
      </c>
      <c r="H258" s="19" t="e">
        <f>IF(ISBLANK(B258),0,+#REF!/B258)</f>
        <v>#REF!</v>
      </c>
      <c r="I258" s="19"/>
      <c r="J258" s="101">
        <f>IF(ISBLANK(B258),0,+J$185)</f>
        <v>54.18</v>
      </c>
      <c r="K258" s="101">
        <f>ROUND($B258*K$185,2)</f>
        <v>-0.09</v>
      </c>
      <c r="L258" s="101"/>
      <c r="M258" s="42"/>
      <c r="N258" s="17">
        <f>SUM(K258:L258)</f>
        <v>-0.09</v>
      </c>
      <c r="O258" s="42"/>
      <c r="P258" s="42"/>
      <c r="Q258" s="42"/>
      <c r="R258" s="42"/>
      <c r="S258" s="43">
        <f>ROUND($B258*S$185*S257,2)</f>
        <v>0</v>
      </c>
      <c r="T258" s="43">
        <f>ROUND($B258*T$185,2)</f>
        <v>0</v>
      </c>
      <c r="U258" s="43">
        <f>ROUND($B258*U$185,2)</f>
        <v>0</v>
      </c>
      <c r="V258" s="42">
        <f>ROUND($B258*V$183,2)</f>
        <v>0</v>
      </c>
      <c r="W258" s="43">
        <f>ROUND($B258*W$185,2)</f>
        <v>0</v>
      </c>
      <c r="X258" s="43">
        <f>ROUND($B258*X$185,2)</f>
        <v>0</v>
      </c>
      <c r="Y258" s="43">
        <f>ROUND($B258*Y$185,2)</f>
        <v>0</v>
      </c>
      <c r="Z258" s="43">
        <f>ROUND($B258*Z$185,2)</f>
        <v>0</v>
      </c>
      <c r="AA258" s="43">
        <f>ROUND($B258*AA$185,2)</f>
        <v>0</v>
      </c>
      <c r="AB258" s="19">
        <f>SUM(U$185:AA$185)+(-V$185+V223)</f>
        <v>4.548E-3</v>
      </c>
      <c r="AC258" s="115" t="str">
        <f>+F258</f>
        <v>SH2</v>
      </c>
    </row>
    <row r="259" spans="1:29" ht="13" x14ac:dyDescent="0.3">
      <c r="A259" s="117"/>
      <c r="B259" s="111">
        <v>-1</v>
      </c>
      <c r="C259" s="57"/>
      <c r="F259" s="37"/>
      <c r="G259" s="17"/>
      <c r="H259" s="19"/>
      <c r="I259" s="19"/>
      <c r="J259" s="101"/>
      <c r="K259" s="101"/>
      <c r="L259" s="101"/>
      <c r="M259" s="42"/>
      <c r="N259" s="17"/>
      <c r="O259" s="42"/>
      <c r="P259" s="42"/>
      <c r="Q259" s="42"/>
      <c r="R259" s="42"/>
      <c r="S259" s="51">
        <v>1</v>
      </c>
      <c r="T259" s="43"/>
      <c r="U259" s="43"/>
      <c r="V259" s="42"/>
      <c r="W259" s="43"/>
      <c r="X259" s="43"/>
      <c r="Y259" s="43"/>
      <c r="Z259" s="43"/>
      <c r="AA259" s="43"/>
      <c r="AB259" s="19"/>
      <c r="AC259" s="115"/>
    </row>
    <row r="260" spans="1:29" ht="13" x14ac:dyDescent="0.3">
      <c r="A260" s="117"/>
      <c r="B260" s="111">
        <f>IF(AND('AES Indiana Sep 23 Bill Calc.'!$D$17="SH",'AES Indiana Sep 23 Bill Calc.'!$D$18="Yes 100%",'AES Indiana Sep 23 Bill Calc.'!$D$20="Yes 2023"),'AES Indiana Sep 23 Bill Calc.'!$D$19,-1)</f>
        <v>-1</v>
      </c>
      <c r="C260" s="1" t="s">
        <v>73</v>
      </c>
      <c r="F260" s="37" t="s">
        <v>293</v>
      </c>
      <c r="G260" s="17">
        <f>SUM(J260:M260,O260:P260,R260:AA260)</f>
        <v>54.089999999999996</v>
      </c>
      <c r="H260" s="19" t="e">
        <f>IF(ISBLANK(B260),0,+#REF!/B260)</f>
        <v>#REF!</v>
      </c>
      <c r="I260" s="19"/>
      <c r="J260" s="101">
        <f>IF(ISBLANK(B260),0,+J$185)</f>
        <v>54.18</v>
      </c>
      <c r="K260" s="101">
        <f>ROUND($B260*K$185,2)</f>
        <v>-0.09</v>
      </c>
      <c r="L260" s="101"/>
      <c r="M260" s="42"/>
      <c r="N260" s="17">
        <f>SUM(K260:L260)</f>
        <v>-0.09</v>
      </c>
      <c r="O260" s="42"/>
      <c r="P260" s="42"/>
      <c r="Q260" s="42"/>
      <c r="R260" s="42"/>
      <c r="S260" s="43">
        <f>ROUND($B260*S$185*S259,2)</f>
        <v>0</v>
      </c>
      <c r="T260" s="43">
        <f>ROUND($B260*T$185,2)</f>
        <v>0</v>
      </c>
      <c r="U260" s="43">
        <f>ROUND($B260*U$185,2)</f>
        <v>0</v>
      </c>
      <c r="V260" s="42">
        <f>ROUND($B260*V$183,2)</f>
        <v>0</v>
      </c>
      <c r="W260" s="43">
        <f>ROUND($B260*W$185,2)</f>
        <v>0</v>
      </c>
      <c r="X260" s="43">
        <f>ROUND($B260*X$185,2)</f>
        <v>0</v>
      </c>
      <c r="Y260" s="43">
        <f>ROUND($B260*Y$185,2)</f>
        <v>0</v>
      </c>
      <c r="Z260" s="43">
        <f>ROUND($B260*Z$185,2)</f>
        <v>0</v>
      </c>
      <c r="AA260" s="43">
        <f>ROUND($B260*AA$185,2)</f>
        <v>0</v>
      </c>
      <c r="AB260" s="19">
        <f>SUM(U$185:AA$185)+(-V$185+V225)</f>
        <v>4.548E-3</v>
      </c>
      <c r="AC260" s="115" t="str">
        <f>+F260</f>
        <v>SH3</v>
      </c>
    </row>
    <row r="261" spans="1:29" ht="13" x14ac:dyDescent="0.3">
      <c r="A261" s="117"/>
      <c r="B261" s="128">
        <v>-1</v>
      </c>
      <c r="C261" s="9"/>
      <c r="F261" s="37"/>
      <c r="G261" s="120"/>
      <c r="H261" s="19"/>
      <c r="I261" s="19"/>
      <c r="J261" s="129"/>
      <c r="K261" s="129"/>
      <c r="L261" s="129"/>
      <c r="M261" s="107"/>
      <c r="N261" s="107"/>
      <c r="O261" s="107"/>
      <c r="P261" s="107"/>
      <c r="Q261" s="107"/>
      <c r="R261" s="107"/>
      <c r="S261" s="51">
        <v>0.5</v>
      </c>
      <c r="T261" s="120"/>
      <c r="U261" s="120"/>
      <c r="V261" s="107"/>
      <c r="W261" s="120"/>
      <c r="X261" s="120"/>
      <c r="Y261" s="120"/>
      <c r="Z261" s="120"/>
      <c r="AA261" s="120"/>
      <c r="AB261" s="19"/>
      <c r="AC261" s="130"/>
    </row>
    <row r="262" spans="1:29" ht="13" x14ac:dyDescent="0.3">
      <c r="A262" s="117"/>
      <c r="B262" s="111">
        <f>IF(AND('AES Indiana Sep 23 Bill Calc.'!$D$17="SH",'AES Indiana Sep 23 Bill Calc.'!$D$18="Yes 50%",'AES Indiana Sep 23 Bill Calc.'!$D$20="Yes 2023"),'AES Indiana Sep 23 Bill Calc.'!$D$19,-1)</f>
        <v>-1</v>
      </c>
      <c r="C262" s="57" t="s">
        <v>171</v>
      </c>
      <c r="F262" s="37" t="s">
        <v>293</v>
      </c>
      <c r="G262" s="17">
        <f>SUM(J262:M262,O262:P262,R262:AA262)</f>
        <v>54.089999999999996</v>
      </c>
      <c r="H262" s="19" t="e">
        <f>IF(ISBLANK(B262),0,+#REF!/B262)</f>
        <v>#REF!</v>
      </c>
      <c r="I262" s="19"/>
      <c r="J262" s="101">
        <f>IF(ISBLANK(B262),0,+J$185)</f>
        <v>54.18</v>
      </c>
      <c r="K262" s="101">
        <f>ROUND($B262*K$185,2)</f>
        <v>-0.09</v>
      </c>
      <c r="L262" s="101"/>
      <c r="M262" s="42"/>
      <c r="N262" s="17">
        <f>SUM(K262:L262)</f>
        <v>-0.09</v>
      </c>
      <c r="O262" s="42"/>
      <c r="P262" s="42"/>
      <c r="Q262" s="42"/>
      <c r="R262" s="42"/>
      <c r="S262" s="43">
        <f>ROUND($B262*S$185*S261,2)</f>
        <v>0</v>
      </c>
      <c r="T262" s="43">
        <f>ROUND($B262*T$185,2)</f>
        <v>0</v>
      </c>
      <c r="U262" s="43">
        <f>ROUND($B262*U$185,2)</f>
        <v>0</v>
      </c>
      <c r="V262" s="42">
        <f>ROUND($B262*V$184,2)</f>
        <v>0</v>
      </c>
      <c r="W262" s="43">
        <f>ROUND($B262*W$185,2)</f>
        <v>0</v>
      </c>
      <c r="X262" s="43">
        <f>ROUND($B262*X$185,2)</f>
        <v>0</v>
      </c>
      <c r="Y262" s="43">
        <f>ROUND($B262*Y$185,2)</f>
        <v>0</v>
      </c>
      <c r="Z262" s="43">
        <f>ROUND($B262*Z$185,2)</f>
        <v>0</v>
      </c>
      <c r="AA262" s="43">
        <f>ROUND($B262*AA$185,2)</f>
        <v>0</v>
      </c>
      <c r="AB262" s="19">
        <f>SUM(U$185:AA$185)+(-V$185+V227)</f>
        <v>4.548E-3</v>
      </c>
      <c r="AC262" s="115" t="str">
        <f>+F262</f>
        <v>SH3</v>
      </c>
    </row>
    <row r="263" spans="1:29" ht="13" x14ac:dyDescent="0.3">
      <c r="A263" s="117"/>
      <c r="B263" s="128">
        <v>-1</v>
      </c>
      <c r="C263" s="9"/>
      <c r="F263" s="37"/>
      <c r="G263" s="120"/>
      <c r="H263" s="19"/>
      <c r="I263" s="19"/>
      <c r="J263" s="129"/>
      <c r="K263" s="129"/>
      <c r="L263" s="129"/>
      <c r="M263" s="107"/>
      <c r="N263" s="107"/>
      <c r="O263" s="107"/>
      <c r="P263" s="107"/>
      <c r="Q263" s="107"/>
      <c r="R263" s="107"/>
      <c r="S263" s="51">
        <v>0.25</v>
      </c>
      <c r="T263" s="120"/>
      <c r="U263" s="120"/>
      <c r="V263" s="107"/>
      <c r="W263" s="120"/>
      <c r="X263" s="120"/>
      <c r="Y263" s="120"/>
      <c r="Z263" s="120"/>
      <c r="AA263" s="120"/>
      <c r="AB263" s="19"/>
      <c r="AC263" s="130"/>
    </row>
    <row r="264" spans="1:29" ht="13" x14ac:dyDescent="0.3">
      <c r="A264" s="117"/>
      <c r="B264" s="111">
        <f>IF(AND('AES Indiana Sep 23 Bill Calc.'!$D$17="SH",'AES Indiana Sep 23 Bill Calc.'!$D$18="Yes 25%",'AES Indiana Sep 23 Bill Calc.'!$D$20="Yes 2023"),'AES Indiana Sep 23 Bill Calc.'!$D$19,-1)</f>
        <v>-1</v>
      </c>
      <c r="C264" s="57" t="s">
        <v>158</v>
      </c>
      <c r="F264" s="37" t="s">
        <v>293</v>
      </c>
      <c r="G264" s="17">
        <f>SUM(J264:M264,O264:P264,R264:AA264)</f>
        <v>54.089999999999996</v>
      </c>
      <c r="H264" s="19" t="e">
        <f>IF(ISBLANK(B264),0,+#REF!/B264)</f>
        <v>#REF!</v>
      </c>
      <c r="I264" s="19"/>
      <c r="J264" s="101">
        <f>IF(ISBLANK(B264),0,+J$185)</f>
        <v>54.18</v>
      </c>
      <c r="K264" s="101">
        <f>ROUND($B264*K$185,2)</f>
        <v>-0.09</v>
      </c>
      <c r="L264" s="101"/>
      <c r="M264" s="42"/>
      <c r="N264" s="17">
        <f>SUM(K264:L264)</f>
        <v>-0.09</v>
      </c>
      <c r="O264" s="42"/>
      <c r="P264" s="42"/>
      <c r="Q264" s="42"/>
      <c r="R264" s="42"/>
      <c r="S264" s="43">
        <f>ROUND($B264*S$185*S263,2)</f>
        <v>0</v>
      </c>
      <c r="T264" s="43">
        <f>ROUND($B264*T$185,2)</f>
        <v>0</v>
      </c>
      <c r="U264" s="43">
        <f>ROUND($B264*U$185,2)</f>
        <v>0</v>
      </c>
      <c r="V264" s="42">
        <f>ROUND($B264*V$184,2)</f>
        <v>0</v>
      </c>
      <c r="W264" s="43">
        <f>ROUND($B264*W$185,2)</f>
        <v>0</v>
      </c>
      <c r="X264" s="43">
        <f>ROUND($B264*X$185,2)</f>
        <v>0</v>
      </c>
      <c r="Y264" s="43">
        <f>ROUND($B264*Y$185,2)</f>
        <v>0</v>
      </c>
      <c r="Z264" s="43">
        <f>ROUND($B264*Z$185,2)</f>
        <v>0</v>
      </c>
      <c r="AA264" s="43">
        <f>ROUND($B264*AA$185,2)</f>
        <v>0</v>
      </c>
      <c r="AB264" s="19">
        <f>SUM(U$185:AA$185)+(-V$185+V229)</f>
        <v>4.548E-3</v>
      </c>
      <c r="AC264" s="115" t="str">
        <f>+F264</f>
        <v>SH3</v>
      </c>
    </row>
    <row r="265" spans="1:29" ht="13" x14ac:dyDescent="0.3">
      <c r="A265" s="117"/>
      <c r="B265" s="128">
        <v>-1</v>
      </c>
      <c r="C265" s="9"/>
      <c r="F265" s="37"/>
      <c r="G265" s="120"/>
      <c r="H265" s="19"/>
      <c r="I265" s="19"/>
      <c r="J265" s="129"/>
      <c r="K265" s="129"/>
      <c r="L265" s="129"/>
      <c r="M265" s="107"/>
      <c r="N265" s="107"/>
      <c r="O265" s="107"/>
      <c r="P265" s="107"/>
      <c r="Q265" s="107"/>
      <c r="R265" s="107"/>
      <c r="S265" s="51">
        <v>0.1</v>
      </c>
      <c r="T265" s="120"/>
      <c r="U265" s="120"/>
      <c r="V265" s="107"/>
      <c r="W265" s="120"/>
      <c r="X265" s="120"/>
      <c r="Y265" s="120"/>
      <c r="Z265" s="120"/>
      <c r="AA265" s="120"/>
      <c r="AB265" s="19"/>
      <c r="AC265" s="130"/>
    </row>
    <row r="266" spans="1:29" ht="13" x14ac:dyDescent="0.3">
      <c r="A266" s="117"/>
      <c r="B266" s="111">
        <f>IF(AND('AES Indiana Sep 23 Bill Calc.'!$D$17="SH",'AES Indiana Sep 23 Bill Calc.'!$D$18="Yes 10%",'AES Indiana Sep 23 Bill Calc.'!$D$20="Yes 2023"),'AES Indiana Sep 23 Bill Calc.'!$D$19,-1)</f>
        <v>-1</v>
      </c>
      <c r="C266" s="57" t="s">
        <v>173</v>
      </c>
      <c r="F266" s="37" t="s">
        <v>293</v>
      </c>
      <c r="G266" s="17">
        <f>SUM(J266:M266,O266:P266,R266:AA266)</f>
        <v>54.089999999999996</v>
      </c>
      <c r="H266" s="19" t="e">
        <f>IF(ISBLANK(B266),0,+#REF!/B266)</f>
        <v>#REF!</v>
      </c>
      <c r="I266" s="19"/>
      <c r="J266" s="101">
        <f>IF(ISBLANK(B266),0,+J$185)</f>
        <v>54.18</v>
      </c>
      <c r="K266" s="101">
        <f>ROUND($B266*K$185,2)</f>
        <v>-0.09</v>
      </c>
      <c r="L266" s="101"/>
      <c r="M266" s="42"/>
      <c r="N266" s="17">
        <f>SUM(K266:L266)</f>
        <v>-0.09</v>
      </c>
      <c r="O266" s="42"/>
      <c r="P266" s="42"/>
      <c r="Q266" s="42"/>
      <c r="R266" s="42"/>
      <c r="S266" s="43">
        <f>ROUND($B266*S$185*S265,2)</f>
        <v>0</v>
      </c>
      <c r="T266" s="43">
        <f>ROUND($B266*T$185,2)</f>
        <v>0</v>
      </c>
      <c r="U266" s="43">
        <f>ROUND($B266*U$185,2)</f>
        <v>0</v>
      </c>
      <c r="V266" s="42">
        <f>ROUND($B266*V$184,2)</f>
        <v>0</v>
      </c>
      <c r="W266" s="43">
        <f>ROUND($B266*W$185,2)</f>
        <v>0</v>
      </c>
      <c r="X266" s="43">
        <f>ROUND($B266*X$185,2)</f>
        <v>0</v>
      </c>
      <c r="Y266" s="43">
        <f>ROUND($B266*Y$185,2)</f>
        <v>0</v>
      </c>
      <c r="Z266" s="43">
        <f>ROUND($B266*Z$185,2)</f>
        <v>0</v>
      </c>
      <c r="AA266" s="43">
        <f>ROUND($B266*AA$185,2)</f>
        <v>0</v>
      </c>
      <c r="AB266" s="19">
        <f>SUM(U$185:AA$185)+(-V$185+V231)</f>
        <v>4.548E-3</v>
      </c>
      <c r="AC266" s="115" t="str">
        <f>+F266</f>
        <v>SH3</v>
      </c>
    </row>
    <row r="267" spans="1:29" ht="13" x14ac:dyDescent="0.3">
      <c r="A267" s="117"/>
      <c r="B267" s="128">
        <v>-1</v>
      </c>
      <c r="C267" s="9"/>
      <c r="F267" s="37"/>
      <c r="G267" s="120"/>
      <c r="H267" s="19"/>
      <c r="I267" s="19"/>
      <c r="J267" s="129"/>
      <c r="K267" s="129"/>
      <c r="L267" s="129"/>
      <c r="M267" s="107"/>
      <c r="N267" s="107"/>
      <c r="O267" s="107"/>
      <c r="P267" s="107"/>
      <c r="Q267" s="107"/>
      <c r="R267" s="107"/>
      <c r="S267" s="51">
        <v>0</v>
      </c>
      <c r="T267" s="120"/>
      <c r="U267" s="120"/>
      <c r="V267" s="107"/>
      <c r="W267" s="120"/>
      <c r="X267" s="120"/>
      <c r="Y267" s="120"/>
      <c r="Z267" s="120"/>
      <c r="AA267" s="120"/>
      <c r="AB267" s="19"/>
      <c r="AC267" s="130"/>
    </row>
    <row r="268" spans="1:29" ht="13" x14ac:dyDescent="0.3">
      <c r="A268" s="117"/>
      <c r="B268" s="111">
        <f>IF(AND('AES Indiana Sep 23 Bill Calc.'!$D$17="SH",'AES Indiana Sep 23 Bill Calc.'!$D$18="No",'AES Indiana Sep 23 Bill Calc.'!$D$20="Yes 2023"),'AES Indiana Sep 23 Bill Calc.'!$D$19,-1)</f>
        <v>-1</v>
      </c>
      <c r="C268" s="57" t="s">
        <v>172</v>
      </c>
      <c r="F268" s="37" t="s">
        <v>293</v>
      </c>
      <c r="G268" s="17">
        <f>SUM(J268:M268,O268:P268,R268:AA268)</f>
        <v>54.089999999999996</v>
      </c>
      <c r="H268" s="19" t="e">
        <f>IF(ISBLANK(B268),0,+#REF!/B268)</f>
        <v>#REF!</v>
      </c>
      <c r="I268" s="19"/>
      <c r="J268" s="101">
        <f>IF(ISBLANK(B268),0,+J$185)</f>
        <v>54.18</v>
      </c>
      <c r="K268" s="101">
        <f>ROUND($B268*K$185,2)</f>
        <v>-0.09</v>
      </c>
      <c r="L268" s="101"/>
      <c r="M268" s="42"/>
      <c r="N268" s="17">
        <f>SUM(K268:L268)</f>
        <v>-0.09</v>
      </c>
      <c r="O268" s="42"/>
      <c r="P268" s="42"/>
      <c r="Q268" s="42"/>
      <c r="R268" s="42"/>
      <c r="S268" s="43">
        <f>ROUND($B268*S$185*S267,2)</f>
        <v>0</v>
      </c>
      <c r="T268" s="43">
        <f>ROUND($B268*T$185,2)</f>
        <v>0</v>
      </c>
      <c r="U268" s="43">
        <f>ROUND($B268*U$185,2)</f>
        <v>0</v>
      </c>
      <c r="V268" s="42">
        <f>ROUND($B268*V$184,2)</f>
        <v>0</v>
      </c>
      <c r="W268" s="43">
        <f>ROUND($B268*W$185,2)</f>
        <v>0</v>
      </c>
      <c r="X268" s="43">
        <f>ROUND($B268*X$185,2)</f>
        <v>0</v>
      </c>
      <c r="Y268" s="43">
        <f>ROUND($B268*Y$185,2)</f>
        <v>0</v>
      </c>
      <c r="Z268" s="43">
        <f>ROUND($B268*Z$185,2)</f>
        <v>0</v>
      </c>
      <c r="AA268" s="43">
        <f>ROUND($B268*AA$185,2)</f>
        <v>0</v>
      </c>
      <c r="AB268" s="19">
        <f>SUM(U$185:AA$185)+(-V$185+V233)</f>
        <v>4.548E-3</v>
      </c>
      <c r="AC268" s="115" t="str">
        <f>+F268</f>
        <v>SH3</v>
      </c>
    </row>
    <row r="269" spans="1:29" ht="13" x14ac:dyDescent="0.3">
      <c r="A269" s="117"/>
      <c r="B269" s="111">
        <v>-1</v>
      </c>
      <c r="C269" s="57"/>
      <c r="F269" s="37"/>
      <c r="G269" s="17"/>
      <c r="H269" s="19"/>
      <c r="I269" s="19"/>
      <c r="J269" s="101"/>
      <c r="K269" s="101"/>
      <c r="L269" s="101"/>
      <c r="M269" s="42"/>
      <c r="N269" s="17"/>
      <c r="O269" s="42"/>
      <c r="P269" s="42"/>
      <c r="Q269" s="42"/>
      <c r="R269" s="42"/>
      <c r="S269" s="43"/>
      <c r="T269" s="43"/>
      <c r="U269" s="43"/>
      <c r="V269" s="42"/>
      <c r="W269" s="43"/>
      <c r="X269" s="43"/>
      <c r="Y269" s="43"/>
      <c r="Z269" s="43"/>
      <c r="AA269" s="43"/>
      <c r="AB269" s="19"/>
      <c r="AC269" s="115"/>
    </row>
    <row r="270" spans="1:29" ht="13" x14ac:dyDescent="0.3">
      <c r="A270" s="117"/>
      <c r="B270" s="111">
        <v>-1</v>
      </c>
      <c r="C270" s="57"/>
      <c r="F270" s="37"/>
      <c r="G270" s="17"/>
      <c r="H270" s="19"/>
      <c r="I270" s="19"/>
      <c r="J270" s="101"/>
      <c r="K270" s="101"/>
      <c r="L270" s="101"/>
      <c r="M270" s="42"/>
      <c r="N270" s="17"/>
      <c r="O270" s="42"/>
      <c r="P270" s="42"/>
      <c r="Q270" s="42"/>
      <c r="R270" s="42"/>
      <c r="S270" s="43"/>
      <c r="T270" s="43"/>
      <c r="U270" s="43"/>
      <c r="V270" s="42"/>
      <c r="W270" s="43"/>
      <c r="X270" s="43"/>
      <c r="Y270" s="43"/>
      <c r="Z270" s="43"/>
      <c r="AA270" s="43"/>
      <c r="AB270" s="19"/>
      <c r="AC270" s="115"/>
    </row>
    <row r="271" spans="1:29" x14ac:dyDescent="0.25">
      <c r="B271" s="111">
        <v>-1</v>
      </c>
      <c r="C271" s="9"/>
      <c r="G271" s="17"/>
      <c r="H271" s="19"/>
      <c r="I271" s="19"/>
      <c r="J271" s="16"/>
      <c r="K271" s="16"/>
      <c r="L271" s="16"/>
      <c r="M271" s="8"/>
      <c r="N271" s="8"/>
      <c r="O271" s="8"/>
      <c r="P271" s="8"/>
      <c r="Q271" s="8"/>
      <c r="R271" s="8"/>
      <c r="S271" s="17"/>
      <c r="T271" s="17"/>
      <c r="U271" s="17"/>
      <c r="V271" s="27">
        <f>+T9</f>
        <v>0</v>
      </c>
      <c r="W271" s="6" t="s">
        <v>94</v>
      </c>
      <c r="X271" s="17"/>
      <c r="Y271" s="17"/>
      <c r="Z271" s="17"/>
      <c r="AA271" s="17"/>
      <c r="AB271" s="19" t="e">
        <f>+AB$185-V$185+#REF!</f>
        <v>#REF!</v>
      </c>
    </row>
    <row r="272" spans="1:29" x14ac:dyDescent="0.25">
      <c r="B272" s="111">
        <v>-1</v>
      </c>
      <c r="C272" s="9"/>
      <c r="H272" s="19"/>
      <c r="I272" s="19"/>
      <c r="J272" s="16"/>
      <c r="K272" s="16"/>
      <c r="L272" s="16"/>
      <c r="M272" s="8"/>
      <c r="N272" s="8"/>
      <c r="O272" s="8"/>
      <c r="P272" s="8"/>
      <c r="Q272" s="8"/>
      <c r="R272" s="8"/>
      <c r="S272" s="17"/>
      <c r="T272" s="17"/>
      <c r="U272" s="17"/>
      <c r="V272" s="27">
        <f>+T11</f>
        <v>0</v>
      </c>
      <c r="W272" s="6" t="s">
        <v>100</v>
      </c>
      <c r="X272" s="17"/>
      <c r="Y272" s="17"/>
      <c r="Z272" s="17"/>
      <c r="AA272" s="17"/>
      <c r="AB272" s="19">
        <f>+AB$185-V$185+V271</f>
        <v>4.2679999999999992E-3</v>
      </c>
    </row>
    <row r="273" spans="1:29" x14ac:dyDescent="0.25">
      <c r="B273" s="111">
        <v>-1</v>
      </c>
      <c r="C273" s="9"/>
      <c r="H273" s="19"/>
      <c r="I273" s="19"/>
      <c r="J273" s="16"/>
      <c r="K273" s="16"/>
      <c r="L273" s="16"/>
      <c r="M273" s="8"/>
      <c r="N273" s="8"/>
      <c r="O273" s="8"/>
      <c r="P273" s="8"/>
      <c r="Q273" s="8"/>
      <c r="R273" s="8"/>
      <c r="S273" s="17"/>
      <c r="T273" s="17"/>
      <c r="U273" s="17"/>
      <c r="V273" s="27">
        <f>+T13</f>
        <v>0</v>
      </c>
      <c r="W273" s="6" t="s">
        <v>114</v>
      </c>
      <c r="X273" s="17"/>
      <c r="Y273" s="17"/>
      <c r="Z273" s="17"/>
      <c r="AA273" s="17"/>
      <c r="AB273" s="19">
        <f>+AB$185-V$185+V272</f>
        <v>4.2679999999999992E-3</v>
      </c>
    </row>
    <row r="274" spans="1:29" x14ac:dyDescent="0.25">
      <c r="B274" s="111">
        <v>-1</v>
      </c>
      <c r="C274" s="9"/>
      <c r="H274" s="19"/>
      <c r="I274" s="19"/>
      <c r="J274" s="16"/>
      <c r="K274" s="16"/>
      <c r="L274" s="16"/>
      <c r="M274" s="8"/>
      <c r="N274" s="8"/>
      <c r="O274" s="8"/>
      <c r="P274" s="8"/>
      <c r="Q274" s="8"/>
      <c r="R274" s="8"/>
      <c r="S274" s="17"/>
      <c r="T274" s="17"/>
      <c r="U274" s="17"/>
      <c r="V274" s="27">
        <f>T15</f>
        <v>1.9999999999999999E-6</v>
      </c>
      <c r="W274" s="6" t="s">
        <v>121</v>
      </c>
      <c r="X274" s="17"/>
      <c r="Y274" s="17"/>
      <c r="Z274" s="17"/>
      <c r="AA274" s="17"/>
      <c r="AB274" s="19"/>
    </row>
    <row r="275" spans="1:29" x14ac:dyDescent="0.25">
      <c r="B275" s="111">
        <v>-1</v>
      </c>
      <c r="C275" s="9"/>
      <c r="H275" s="19"/>
      <c r="I275" s="19"/>
      <c r="J275" s="16"/>
      <c r="K275" s="16"/>
      <c r="L275" s="16"/>
      <c r="M275" s="8"/>
      <c r="N275" s="8"/>
      <c r="O275" s="8"/>
      <c r="P275" s="8"/>
      <c r="Q275" s="8"/>
      <c r="R275" s="8"/>
      <c r="S275" s="17"/>
      <c r="T275" s="17"/>
      <c r="U275" s="17"/>
      <c r="V275" s="27">
        <f>$T$18</f>
        <v>3.19E-4</v>
      </c>
      <c r="W275" s="6" t="s">
        <v>140</v>
      </c>
      <c r="X275" s="17"/>
      <c r="Y275" s="17"/>
      <c r="Z275" s="17"/>
      <c r="AA275" s="17"/>
      <c r="AB275" s="19"/>
    </row>
    <row r="276" spans="1:29" x14ac:dyDescent="0.25">
      <c r="B276" s="111">
        <v>-1</v>
      </c>
      <c r="C276" s="9"/>
      <c r="H276" s="19"/>
      <c r="I276" s="19"/>
      <c r="J276" s="16"/>
      <c r="K276" s="16"/>
      <c r="L276" s="16"/>
      <c r="M276" s="8"/>
      <c r="N276" s="8"/>
      <c r="O276" s="8"/>
      <c r="P276" s="8"/>
      <c r="Q276" s="8"/>
      <c r="R276" s="8"/>
      <c r="S276" s="17"/>
      <c r="T276" s="17"/>
      <c r="U276" s="17"/>
      <c r="V276" s="27">
        <f>$T$20</f>
        <v>3.3799999999999998E-4</v>
      </c>
      <c r="W276" s="6" t="s">
        <v>93</v>
      </c>
      <c r="X276" s="17"/>
      <c r="Y276" s="17"/>
      <c r="Z276" s="17"/>
      <c r="AA276" s="17"/>
      <c r="AB276" s="19"/>
    </row>
    <row r="277" spans="1:29" x14ac:dyDescent="0.25">
      <c r="B277" s="111">
        <v>-1</v>
      </c>
      <c r="C277" s="9"/>
      <c r="H277" s="19"/>
      <c r="I277" s="19"/>
      <c r="J277" s="16"/>
      <c r="K277" s="16"/>
      <c r="L277" s="16"/>
      <c r="M277" s="8"/>
      <c r="N277" s="8"/>
      <c r="O277" s="8"/>
      <c r="P277" s="8"/>
      <c r="Q277" s="8"/>
      <c r="R277" s="8"/>
      <c r="S277" s="17"/>
      <c r="T277" s="17"/>
      <c r="U277" s="17"/>
      <c r="V277" s="27">
        <f>$T$22</f>
        <v>1.604E-3</v>
      </c>
      <c r="W277" s="6" t="s">
        <v>164</v>
      </c>
      <c r="X277" s="17"/>
      <c r="Y277" s="17"/>
      <c r="Z277" s="17"/>
      <c r="AA277" s="17"/>
      <c r="AB277" s="19"/>
    </row>
    <row r="278" spans="1:29" x14ac:dyDescent="0.25">
      <c r="B278" s="111">
        <v>-1</v>
      </c>
      <c r="C278" s="9"/>
      <c r="H278" s="19"/>
      <c r="I278" s="19"/>
      <c r="J278" s="16"/>
      <c r="K278" s="16"/>
      <c r="L278" s="16"/>
      <c r="M278" s="8"/>
      <c r="N278" s="8"/>
      <c r="O278" s="8"/>
      <c r="P278" s="8"/>
      <c r="Q278" s="8"/>
      <c r="R278" s="8"/>
      <c r="S278" s="17"/>
      <c r="T278" s="17"/>
      <c r="U278" s="17"/>
      <c r="V278" s="27">
        <f>$T$24</f>
        <v>0</v>
      </c>
      <c r="W278" s="6" t="s">
        <v>177</v>
      </c>
      <c r="X278" s="17"/>
      <c r="Y278" s="17"/>
      <c r="Z278" s="17"/>
      <c r="AA278" s="17"/>
      <c r="AB278" s="19"/>
    </row>
    <row r="279" spans="1:29" x14ac:dyDescent="0.25">
      <c r="B279" s="111">
        <v>-1</v>
      </c>
      <c r="C279" s="9"/>
      <c r="H279" s="19"/>
      <c r="I279" s="19"/>
      <c r="J279" s="16"/>
      <c r="K279" s="16"/>
      <c r="L279" s="16"/>
      <c r="M279" s="8"/>
      <c r="N279" s="8"/>
      <c r="O279" s="8"/>
      <c r="P279" s="8"/>
      <c r="Q279" s="8"/>
      <c r="R279" s="8"/>
      <c r="S279" s="17"/>
      <c r="T279" s="17"/>
      <c r="U279" s="17"/>
      <c r="V279" s="19">
        <f>T26</f>
        <v>3.2720000000000002E-3</v>
      </c>
      <c r="W279" s="6" t="s">
        <v>294</v>
      </c>
      <c r="X279" s="17"/>
      <c r="Y279" s="17"/>
      <c r="Z279" s="17"/>
      <c r="AA279" s="17"/>
      <c r="AB279" s="19"/>
    </row>
    <row r="280" spans="1:29" x14ac:dyDescent="0.25">
      <c r="B280" s="111">
        <v>-1</v>
      </c>
      <c r="C280" s="4"/>
      <c r="D280" s="85">
        <v>155</v>
      </c>
      <c r="F280" s="84"/>
      <c r="G280" s="82"/>
      <c r="H280" s="82"/>
      <c r="I280" s="87"/>
      <c r="J280" s="84">
        <v>54.18</v>
      </c>
      <c r="K280" s="83">
        <v>0.11627999999999999</v>
      </c>
      <c r="L280" s="83">
        <v>0.1018</v>
      </c>
      <c r="M280" s="83">
        <v>8.8108000000000006E-2</v>
      </c>
      <c r="N280" s="83"/>
      <c r="O280" s="83"/>
      <c r="P280" s="83"/>
      <c r="Q280" s="83"/>
      <c r="R280" s="5"/>
      <c r="S280" s="27">
        <f>+M$4</f>
        <v>3.0000000000000001E-3</v>
      </c>
      <c r="T280" s="27">
        <f t="shared" ref="T280:AA280" si="21">+R$4</f>
        <v>-3.1020000000000002E-3</v>
      </c>
      <c r="U280" s="142">
        <f>+S$4</f>
        <v>3.0219999999999999E-3</v>
      </c>
      <c r="V280" s="27">
        <f t="shared" si="21"/>
        <v>7.5160000000000001E-3</v>
      </c>
      <c r="W280" s="27">
        <f t="shared" si="21"/>
        <v>0</v>
      </c>
      <c r="X280" s="27">
        <f t="shared" si="21"/>
        <v>6.9700000000000003E-4</v>
      </c>
      <c r="Y280" s="27">
        <f t="shared" si="21"/>
        <v>1.807E-3</v>
      </c>
      <c r="Z280" s="27">
        <f t="shared" si="21"/>
        <v>-1.258E-3</v>
      </c>
      <c r="AA280" s="27">
        <f t="shared" si="21"/>
        <v>2.7999999999999998E-4</v>
      </c>
      <c r="AB280" s="19">
        <f>SUM(U280:Z280)</f>
        <v>1.1783999999999999E-2</v>
      </c>
    </row>
    <row r="281" spans="1:29" x14ac:dyDescent="0.25">
      <c r="A281" s="1"/>
      <c r="B281" s="111">
        <v>-1</v>
      </c>
      <c r="C281" s="1" t="s">
        <v>25</v>
      </c>
      <c r="D281" s="90" t="s">
        <v>25</v>
      </c>
      <c r="F281" s="84"/>
      <c r="G281" s="82"/>
      <c r="H281" s="82"/>
      <c r="I281" s="87"/>
      <c r="J281" s="85"/>
      <c r="K281" s="85">
        <v>5000</v>
      </c>
      <c r="L281" s="82"/>
      <c r="M281" s="82"/>
      <c r="N281" s="82"/>
      <c r="O281" s="82"/>
      <c r="P281" s="82"/>
      <c r="Q281" s="73" t="s">
        <v>175</v>
      </c>
    </row>
    <row r="282" spans="1:29" x14ac:dyDescent="0.25">
      <c r="B282" s="111">
        <v>-1</v>
      </c>
      <c r="C282" s="34" t="s">
        <v>26</v>
      </c>
      <c r="D282" s="34" t="s">
        <v>26</v>
      </c>
      <c r="F282" s="12"/>
      <c r="I282" s="19"/>
      <c r="J282" s="12" t="s">
        <v>1</v>
      </c>
      <c r="K282" s="256" t="s">
        <v>2</v>
      </c>
      <c r="L282" s="256"/>
      <c r="M282" s="12"/>
      <c r="N282" s="12"/>
      <c r="O282" s="12"/>
      <c r="P282" s="12"/>
      <c r="Q282" s="12"/>
      <c r="R282" s="12"/>
      <c r="S282" s="12">
        <v>21</v>
      </c>
      <c r="T282" s="12">
        <v>6</v>
      </c>
      <c r="U282" s="12">
        <v>3</v>
      </c>
      <c r="V282" s="12">
        <v>22</v>
      </c>
      <c r="W282" s="12">
        <v>13</v>
      </c>
      <c r="X282" s="12">
        <v>20</v>
      </c>
      <c r="Y282" s="12">
        <v>24</v>
      </c>
      <c r="Z282" s="12">
        <v>25</v>
      </c>
      <c r="AA282" s="12">
        <v>26</v>
      </c>
    </row>
    <row r="283" spans="1:29" x14ac:dyDescent="0.25">
      <c r="A283" s="13"/>
      <c r="B283" s="127" t="s">
        <v>3</v>
      </c>
      <c r="C283" s="32" t="s">
        <v>27</v>
      </c>
      <c r="D283" s="13" t="s">
        <v>3</v>
      </c>
      <c r="F283" s="13" t="s">
        <v>4</v>
      </c>
      <c r="G283" s="13" t="s">
        <v>12</v>
      </c>
      <c r="H283" s="13" t="s">
        <v>13</v>
      </c>
      <c r="I283" s="19"/>
      <c r="J283" s="13" t="s">
        <v>5</v>
      </c>
      <c r="K283" s="13" t="s">
        <v>20</v>
      </c>
      <c r="L283" s="13" t="s">
        <v>21</v>
      </c>
      <c r="M283" s="13" t="s">
        <v>43</v>
      </c>
      <c r="N283" s="73" t="s">
        <v>176</v>
      </c>
      <c r="O283" s="13"/>
      <c r="P283" s="13"/>
      <c r="Q283" s="13"/>
      <c r="R283" s="13"/>
      <c r="S283" s="13" t="s">
        <v>70</v>
      </c>
      <c r="T283" s="13" t="s">
        <v>9</v>
      </c>
      <c r="U283" s="80" t="s">
        <v>161</v>
      </c>
      <c r="V283" s="13" t="s">
        <v>79</v>
      </c>
      <c r="W283" s="13" t="s">
        <v>10</v>
      </c>
      <c r="X283" s="13" t="s">
        <v>11</v>
      </c>
      <c r="Y283" s="80" t="s">
        <v>104</v>
      </c>
      <c r="Z283" s="80" t="s">
        <v>105</v>
      </c>
      <c r="AA283" s="80" t="s">
        <v>106</v>
      </c>
      <c r="AB283" s="77" t="s">
        <v>71</v>
      </c>
    </row>
    <row r="284" spans="1:29" x14ac:dyDescent="0.25">
      <c r="B284" s="111">
        <v>-1</v>
      </c>
      <c r="C284" s="35"/>
      <c r="F284" s="12"/>
      <c r="G284" s="12"/>
      <c r="H284" s="12"/>
      <c r="I284" s="19"/>
      <c r="J284" s="12"/>
      <c r="K284" s="36">
        <f>IF(D285&gt;K$281,+K$281,D285)</f>
        <v>0</v>
      </c>
      <c r="L284" s="36">
        <f>IF(D285&gt;K284,+D285-K284,0)</f>
        <v>0</v>
      </c>
      <c r="M284" s="35">
        <f>IF(B285&gt;D285,+B285-D285,0)</f>
        <v>0</v>
      </c>
      <c r="N284" s="35"/>
      <c r="O284" s="35"/>
      <c r="P284" s="35"/>
      <c r="Q284" s="35"/>
      <c r="R284" s="12"/>
      <c r="S284" s="51">
        <v>1</v>
      </c>
      <c r="T284" s="12"/>
      <c r="U284" s="12"/>
      <c r="V284" s="12"/>
      <c r="W284" s="12"/>
      <c r="X284" s="12"/>
      <c r="Y284" s="12"/>
      <c r="Z284" s="12"/>
      <c r="AA284" s="12"/>
    </row>
    <row r="285" spans="1:29" ht="13" x14ac:dyDescent="0.3">
      <c r="A285" s="1" t="s">
        <v>73</v>
      </c>
      <c r="B285" s="111">
        <f>IF(AND('AES Indiana Sep 23 Bill Calc.'!$D$17="SE",'AES Indiana Sep 23 Bill Calc.'!$D$18="Yes 100%",'AES Indiana Sep 23 Bill Calc.'!$D$20="No"),'AES Indiana Sep 23 Bill Calc.'!$D$19,-1)</f>
        <v>-1</v>
      </c>
      <c r="C285" s="111" t="b">
        <f>IF(AND('AES Indiana Sep 23 Bill Calc.'!$D$17="SE",'AES Indiana Sep 23 Bill Calc.'!$D$18="Yes 100%",'AES Indiana Sep 23 Bill Calc.'!$D$20="No"),'AES Indiana Sep 23 Bill Calc.'!$D$23)</f>
        <v>0</v>
      </c>
      <c r="D285" s="2">
        <f>ROUND(C285*D$280,0)</f>
        <v>0</v>
      </c>
      <c r="F285" s="37" t="s">
        <v>29</v>
      </c>
      <c r="G285" s="17">
        <f>SUM(J285:M285,O285:P285,R285:AA285)</f>
        <v>54.17</v>
      </c>
      <c r="H285" s="19" t="e">
        <f>IF(ISBLANK(B285),0,+#REF!/B285)</f>
        <v>#REF!</v>
      </c>
      <c r="I285" s="19"/>
      <c r="J285" s="16">
        <f>IF(ISBLANK(B285),0,+J$280)</f>
        <v>54.18</v>
      </c>
      <c r="K285" s="16">
        <f>ROUND(K284*K$280,2)</f>
        <v>0</v>
      </c>
      <c r="L285" s="16">
        <f>ROUND(L284*L$280,2)</f>
        <v>0</v>
      </c>
      <c r="M285" s="16">
        <f>ROUND(M284*M$280,2)</f>
        <v>0</v>
      </c>
      <c r="N285" s="16">
        <f>SUM(K285:M285)</f>
        <v>0</v>
      </c>
      <c r="O285" s="16"/>
      <c r="P285" s="16"/>
      <c r="Q285" s="16"/>
      <c r="R285" s="8"/>
      <c r="S285" s="17">
        <f>ROUND($B285*S$280*S284,2)</f>
        <v>0</v>
      </c>
      <c r="T285" s="17">
        <f t="shared" ref="T285:AA285" si="22">ROUND($B285*T$280,2)</f>
        <v>0</v>
      </c>
      <c r="U285" s="17">
        <f t="shared" si="22"/>
        <v>0</v>
      </c>
      <c r="V285" s="17">
        <f t="shared" si="22"/>
        <v>-0.01</v>
      </c>
      <c r="W285" s="17">
        <f t="shared" si="22"/>
        <v>0</v>
      </c>
      <c r="X285" s="17">
        <f t="shared" si="22"/>
        <v>0</v>
      </c>
      <c r="Y285" s="17">
        <f t="shared" si="22"/>
        <v>0</v>
      </c>
      <c r="Z285" s="17">
        <f t="shared" si="22"/>
        <v>0</v>
      </c>
      <c r="AA285" s="17">
        <f t="shared" si="22"/>
        <v>0</v>
      </c>
      <c r="AB285" s="19">
        <f>SUM(U280:AA280)</f>
        <v>1.2064E-2</v>
      </c>
      <c r="AC285" s="78" t="str">
        <f>+F285</f>
        <v>SE</v>
      </c>
    </row>
    <row r="286" spans="1:29" x14ac:dyDescent="0.25">
      <c r="A286" s="9"/>
      <c r="B286" s="111">
        <v>-1</v>
      </c>
      <c r="C286" s="35"/>
      <c r="F286" s="12"/>
      <c r="G286" s="12"/>
      <c r="H286" s="12"/>
      <c r="I286" s="19"/>
      <c r="J286" s="12"/>
      <c r="K286" s="36">
        <f>IF(D287&gt;K$281,+K$281,D287)</f>
        <v>0</v>
      </c>
      <c r="L286" s="36">
        <f>IF(D287&gt;K286,+D287-K286,0)</f>
        <v>0</v>
      </c>
      <c r="M286" s="35">
        <f>IF(B287&gt;D287,+B287-D287,0)</f>
        <v>0</v>
      </c>
      <c r="N286" s="35"/>
      <c r="O286" s="35"/>
      <c r="P286" s="35"/>
      <c r="Q286" s="35"/>
      <c r="R286" s="12"/>
      <c r="S286" s="51">
        <v>0.5</v>
      </c>
      <c r="T286" s="12"/>
      <c r="U286" s="12"/>
      <c r="V286" s="12"/>
      <c r="W286" s="12"/>
      <c r="X286" s="12"/>
      <c r="Y286" s="12"/>
      <c r="Z286" s="12"/>
      <c r="AA286" s="12"/>
    </row>
    <row r="287" spans="1:29" ht="13" x14ac:dyDescent="0.3">
      <c r="A287" s="57" t="s">
        <v>171</v>
      </c>
      <c r="B287" s="111">
        <f>IF(AND('AES Indiana Sep 23 Bill Calc.'!$D$17="SE",'AES Indiana Sep 23 Bill Calc.'!$D$18="Yes 50%",'AES Indiana Sep 23 Bill Calc.'!$D$20="No"),'AES Indiana Sep 23 Bill Calc.'!$D$19,-1)</f>
        <v>-1</v>
      </c>
      <c r="C287" s="111" t="b">
        <f>IF(AND('AES Indiana Sep 23 Bill Calc.'!$D$17="SE",'AES Indiana Sep 23 Bill Calc.'!$D$18="Yes 50%",'AES Indiana Sep 23 Bill Calc.'!$D$20="No"),'AES Indiana Sep 23 Bill Calc.'!$D$23)</f>
        <v>0</v>
      </c>
      <c r="D287" s="2">
        <f>ROUND(C287*D$280,0)</f>
        <v>0</v>
      </c>
      <c r="F287" s="37" t="s">
        <v>29</v>
      </c>
      <c r="G287" s="17">
        <f>SUM(J287:M287,O287:P287,R287:AA287)</f>
        <v>54.17</v>
      </c>
      <c r="H287" s="19" t="e">
        <f>IF(ISBLANK(B287),0,+#REF!/B287)</f>
        <v>#REF!</v>
      </c>
      <c r="I287" s="19"/>
      <c r="J287" s="16">
        <f>IF(ISBLANK(B287),0,+J$280)</f>
        <v>54.18</v>
      </c>
      <c r="K287" s="16">
        <f>ROUND(K286*K$280,2)</f>
        <v>0</v>
      </c>
      <c r="L287" s="16">
        <f>ROUND(L286*L$280,2)</f>
        <v>0</v>
      </c>
      <c r="M287" s="16">
        <f>ROUND(M286*M$280,2)</f>
        <v>0</v>
      </c>
      <c r="N287" s="16">
        <f>SUM(K287:M287)</f>
        <v>0</v>
      </c>
      <c r="O287" s="16"/>
      <c r="P287" s="16"/>
      <c r="Q287" s="16"/>
      <c r="R287" s="8"/>
      <c r="S287" s="17">
        <f>ROUND($B287*S$280*S286,2)</f>
        <v>0</v>
      </c>
      <c r="T287" s="17">
        <f t="shared" ref="T287:AA287" si="23">ROUND($B287*T$280,2)</f>
        <v>0</v>
      </c>
      <c r="U287" s="17">
        <f t="shared" si="23"/>
        <v>0</v>
      </c>
      <c r="V287" s="17">
        <f t="shared" si="23"/>
        <v>-0.01</v>
      </c>
      <c r="W287" s="17">
        <f t="shared" si="23"/>
        <v>0</v>
      </c>
      <c r="X287" s="17">
        <f t="shared" si="23"/>
        <v>0</v>
      </c>
      <c r="Y287" s="17">
        <f t="shared" si="23"/>
        <v>0</v>
      </c>
      <c r="Z287" s="17">
        <f t="shared" si="23"/>
        <v>0</v>
      </c>
      <c r="AA287" s="17">
        <f t="shared" si="23"/>
        <v>0</v>
      </c>
      <c r="AB287" s="19">
        <f>SUM(U282:AA282)</f>
        <v>133</v>
      </c>
      <c r="AC287" s="78" t="str">
        <f>+F287</f>
        <v>SE</v>
      </c>
    </row>
    <row r="288" spans="1:29" x14ac:dyDescent="0.25">
      <c r="A288" s="9"/>
      <c r="B288" s="111">
        <v>-1</v>
      </c>
      <c r="C288" s="35"/>
      <c r="F288" s="12"/>
      <c r="G288" s="12"/>
      <c r="H288" s="12"/>
      <c r="I288" s="19"/>
      <c r="J288" s="12"/>
      <c r="K288" s="36">
        <f>IF(D289&gt;K$281,+K$281,D289)</f>
        <v>0</v>
      </c>
      <c r="L288" s="36">
        <f>IF(D289&gt;K288,+D289-K288,0)</f>
        <v>0</v>
      </c>
      <c r="M288" s="35">
        <f>IF(B289&gt;D289,+B289-D289,0)</f>
        <v>0</v>
      </c>
      <c r="N288" s="35"/>
      <c r="O288" s="35"/>
      <c r="P288" s="35"/>
      <c r="Q288" s="35"/>
      <c r="R288" s="12"/>
      <c r="S288" s="51">
        <v>0.25</v>
      </c>
      <c r="T288" s="12"/>
      <c r="U288" s="12"/>
      <c r="V288" s="12"/>
      <c r="W288" s="12"/>
      <c r="X288" s="12"/>
      <c r="Y288" s="12"/>
      <c r="Z288" s="12"/>
      <c r="AA288" s="12"/>
    </row>
    <row r="289" spans="1:29" ht="13" x14ac:dyDescent="0.3">
      <c r="A289" s="57" t="s">
        <v>158</v>
      </c>
      <c r="B289" s="111">
        <f>IF(AND('AES Indiana Sep 23 Bill Calc.'!$D$17="SE",'AES Indiana Sep 23 Bill Calc.'!$D$18="Yes 25%",'AES Indiana Sep 23 Bill Calc.'!$D$20="No"),'AES Indiana Sep 23 Bill Calc.'!$D$19,-1)</f>
        <v>-1</v>
      </c>
      <c r="C289" s="111" t="b">
        <f>IF(AND('AES Indiana Sep 23 Bill Calc.'!$D$17="SE",'AES Indiana Sep 23 Bill Calc.'!$D$18="Yes 25%",'AES Indiana Sep 23 Bill Calc.'!$D$20="No"),'AES Indiana Sep 23 Bill Calc.'!$D$23)</f>
        <v>0</v>
      </c>
      <c r="D289" s="2">
        <f>ROUND(C289*D$280,0)</f>
        <v>0</v>
      </c>
      <c r="F289" s="37" t="s">
        <v>29</v>
      </c>
      <c r="G289" s="17">
        <f>SUM(J289:M289,O289:P289,R289:AA289)</f>
        <v>54.17</v>
      </c>
      <c r="H289" s="19" t="e">
        <f>IF(ISBLANK(B289),0,+#REF!/B289)</f>
        <v>#REF!</v>
      </c>
      <c r="I289" s="19"/>
      <c r="J289" s="16">
        <f>IF(ISBLANK(B289),0,+J$280)</f>
        <v>54.18</v>
      </c>
      <c r="K289" s="16">
        <f>ROUND(K288*K$280,2)</f>
        <v>0</v>
      </c>
      <c r="L289" s="16">
        <f>ROUND(L288*L$280,2)</f>
        <v>0</v>
      </c>
      <c r="M289" s="16">
        <f>ROUND(M288*M$280,2)</f>
        <v>0</v>
      </c>
      <c r="N289" s="16">
        <f>SUM(K289:M289)</f>
        <v>0</v>
      </c>
      <c r="O289" s="16"/>
      <c r="P289" s="16"/>
      <c r="Q289" s="16"/>
      <c r="R289" s="8"/>
      <c r="S289" s="17">
        <f>ROUND($B289*S$280*S288,2)</f>
        <v>0</v>
      </c>
      <c r="T289" s="17">
        <f t="shared" ref="T289:AA289" si="24">ROUND($B289*T$280,2)</f>
        <v>0</v>
      </c>
      <c r="U289" s="17">
        <f t="shared" si="24"/>
        <v>0</v>
      </c>
      <c r="V289" s="17">
        <f t="shared" si="24"/>
        <v>-0.01</v>
      </c>
      <c r="W289" s="17">
        <f t="shared" si="24"/>
        <v>0</v>
      </c>
      <c r="X289" s="17">
        <f t="shared" si="24"/>
        <v>0</v>
      </c>
      <c r="Y289" s="17">
        <f t="shared" si="24"/>
        <v>0</v>
      </c>
      <c r="Z289" s="17">
        <f t="shared" si="24"/>
        <v>0</v>
      </c>
      <c r="AA289" s="17">
        <f t="shared" si="24"/>
        <v>0</v>
      </c>
      <c r="AB289" s="19">
        <f>SUM(U284:AA284)</f>
        <v>0</v>
      </c>
      <c r="AC289" s="78" t="str">
        <f>+F289</f>
        <v>SE</v>
      </c>
    </row>
    <row r="290" spans="1:29" x14ac:dyDescent="0.25">
      <c r="A290" s="9"/>
      <c r="B290" s="111">
        <v>-1</v>
      </c>
      <c r="C290" s="35"/>
      <c r="F290" s="12"/>
      <c r="G290" s="12"/>
      <c r="H290" s="12"/>
      <c r="I290" s="19"/>
      <c r="J290" s="12"/>
      <c r="K290" s="36">
        <f>IF(D291&gt;K$281,+K$281,D291)</f>
        <v>0</v>
      </c>
      <c r="L290" s="36">
        <f>IF(D291&gt;K290,+D291-K290,0)</f>
        <v>0</v>
      </c>
      <c r="M290" s="35">
        <f>IF(B291&gt;D291,+B291-D291,0)</f>
        <v>0</v>
      </c>
      <c r="N290" s="35"/>
      <c r="O290" s="35"/>
      <c r="P290" s="35"/>
      <c r="Q290" s="35"/>
      <c r="R290" s="12"/>
      <c r="S290" s="51">
        <v>0.1</v>
      </c>
      <c r="T290" s="12"/>
      <c r="U290" s="12"/>
      <c r="V290" s="12"/>
      <c r="W290" s="12"/>
      <c r="X290" s="12"/>
      <c r="Y290" s="12"/>
      <c r="Z290" s="12"/>
      <c r="AA290" s="12"/>
    </row>
    <row r="291" spans="1:29" ht="13" x14ac:dyDescent="0.3">
      <c r="A291" s="57" t="s">
        <v>173</v>
      </c>
      <c r="B291" s="111">
        <f>IF(AND('AES Indiana Sep 23 Bill Calc.'!$D$17="SE",'AES Indiana Sep 23 Bill Calc.'!$D$18="Yes 10%",'AES Indiana Sep 23 Bill Calc.'!$D$20="No"),'AES Indiana Sep 23 Bill Calc.'!$D$19,-1)</f>
        <v>-1</v>
      </c>
      <c r="C291" s="111" t="b">
        <f>IF(AND('AES Indiana Sep 23 Bill Calc.'!$D$17="SE",'AES Indiana Sep 23 Bill Calc.'!$D$18="Yes 10%",'AES Indiana Sep 23 Bill Calc.'!$D$20="No"),'AES Indiana Sep 23 Bill Calc.'!$D$23)</f>
        <v>0</v>
      </c>
      <c r="D291" s="2">
        <f>ROUND(C291*D$280,0)</f>
        <v>0</v>
      </c>
      <c r="F291" s="37" t="s">
        <v>29</v>
      </c>
      <c r="G291" s="17">
        <f>SUM(J291:M291,O291:P291,R291:AA291)</f>
        <v>54.17</v>
      </c>
      <c r="H291" s="19" t="e">
        <f>IF(ISBLANK(B291),0,+#REF!/B291)</f>
        <v>#REF!</v>
      </c>
      <c r="I291" s="19"/>
      <c r="J291" s="16">
        <f>IF(ISBLANK(B291),0,+J$280)</f>
        <v>54.18</v>
      </c>
      <c r="K291" s="16">
        <f>ROUND(K290*K$280,2)</f>
        <v>0</v>
      </c>
      <c r="L291" s="16">
        <f>ROUND(L290*L$280,2)</f>
        <v>0</v>
      </c>
      <c r="M291" s="16">
        <f>ROUND(M290*M$280,2)</f>
        <v>0</v>
      </c>
      <c r="N291" s="16">
        <f>SUM(K291:M291)</f>
        <v>0</v>
      </c>
      <c r="O291" s="16"/>
      <c r="P291" s="16"/>
      <c r="Q291" s="16"/>
      <c r="R291" s="8"/>
      <c r="S291" s="17">
        <f>ROUND($B291*S$280*S290,2)</f>
        <v>0</v>
      </c>
      <c r="T291" s="17">
        <f t="shared" ref="T291:AA291" si="25">ROUND($B291*T$280,2)</f>
        <v>0</v>
      </c>
      <c r="U291" s="17">
        <f t="shared" si="25"/>
        <v>0</v>
      </c>
      <c r="V291" s="17">
        <f t="shared" si="25"/>
        <v>-0.01</v>
      </c>
      <c r="W291" s="17">
        <f t="shared" si="25"/>
        <v>0</v>
      </c>
      <c r="X291" s="17">
        <f t="shared" si="25"/>
        <v>0</v>
      </c>
      <c r="Y291" s="17">
        <f t="shared" si="25"/>
        <v>0</v>
      </c>
      <c r="Z291" s="17">
        <f t="shared" si="25"/>
        <v>0</v>
      </c>
      <c r="AA291" s="17">
        <f t="shared" si="25"/>
        <v>0</v>
      </c>
      <c r="AB291" s="19">
        <f>SUM(U286:AA286)</f>
        <v>0</v>
      </c>
      <c r="AC291" s="78" t="str">
        <f>+F291</f>
        <v>SE</v>
      </c>
    </row>
    <row r="292" spans="1:29" x14ac:dyDescent="0.25">
      <c r="A292" s="9"/>
      <c r="B292" s="111">
        <v>-1</v>
      </c>
      <c r="C292" s="35"/>
      <c r="F292" s="12"/>
      <c r="G292" s="12"/>
      <c r="H292" s="12"/>
      <c r="I292" s="19"/>
      <c r="J292" s="12"/>
      <c r="K292" s="36">
        <f>IF(D293&gt;K$281,+K$281,D293)</f>
        <v>0</v>
      </c>
      <c r="L292" s="36">
        <f>IF(D293&gt;K292,+D293-K292,0)</f>
        <v>0</v>
      </c>
      <c r="M292" s="35">
        <f>IF(B293&gt;D293,+B293-D293,0)</f>
        <v>0</v>
      </c>
      <c r="N292" s="35"/>
      <c r="O292" s="35"/>
      <c r="P292" s="35"/>
      <c r="Q292" s="35"/>
      <c r="R292" s="12"/>
      <c r="S292" s="51">
        <v>0</v>
      </c>
      <c r="T292" s="12"/>
      <c r="U292" s="12"/>
      <c r="V292" s="12"/>
      <c r="W292" s="12"/>
      <c r="X292" s="12"/>
      <c r="Y292" s="12"/>
      <c r="Z292" s="12"/>
      <c r="AA292" s="12"/>
    </row>
    <row r="293" spans="1:29" ht="13" x14ac:dyDescent="0.3">
      <c r="A293" s="57" t="s">
        <v>172</v>
      </c>
      <c r="B293" s="111">
        <f>IF(AND('AES Indiana Sep 23 Bill Calc.'!$D$17="SE",'AES Indiana Sep 23 Bill Calc.'!$D$18="No",'AES Indiana Sep 23 Bill Calc.'!$D$20="No"),'AES Indiana Sep 23 Bill Calc.'!$D$19,-1)</f>
        <v>-1</v>
      </c>
      <c r="C293" s="111" t="b">
        <f>IF(AND('AES Indiana Sep 23 Bill Calc.'!$D$17="SE",'AES Indiana Sep 23 Bill Calc.'!$D$18="No",'AES Indiana Sep 23 Bill Calc.'!$D$20="No"),'AES Indiana Sep 23 Bill Calc.'!$D$23)</f>
        <v>0</v>
      </c>
      <c r="D293" s="2">
        <f>ROUND(C293*D$280,0)</f>
        <v>0</v>
      </c>
      <c r="F293" s="37" t="s">
        <v>29</v>
      </c>
      <c r="G293" s="17">
        <f>SUM(J293:M293,O293:P293,R293:AA293)</f>
        <v>54.17</v>
      </c>
      <c r="H293" s="19" t="e">
        <f>IF(ISBLANK(B293),0,+#REF!/B293)</f>
        <v>#REF!</v>
      </c>
      <c r="I293" s="19"/>
      <c r="J293" s="16">
        <f>IF(ISBLANK(B293),0,+J$280)</f>
        <v>54.18</v>
      </c>
      <c r="K293" s="16">
        <f>ROUND(K292*K$280,2)</f>
        <v>0</v>
      </c>
      <c r="L293" s="16">
        <f>ROUND(L292*L$280,2)</f>
        <v>0</v>
      </c>
      <c r="M293" s="16">
        <f>ROUND(M292*M$280,2)</f>
        <v>0</v>
      </c>
      <c r="N293" s="16">
        <f>SUM(K293:M293)</f>
        <v>0</v>
      </c>
      <c r="O293" s="16"/>
      <c r="P293" s="16"/>
      <c r="Q293" s="16"/>
      <c r="R293" s="8"/>
      <c r="S293" s="17">
        <f>ROUND($B293*S$280*S292,2)</f>
        <v>0</v>
      </c>
      <c r="T293" s="17">
        <f t="shared" ref="T293:AA293" si="26">ROUND($B293*T$280,2)</f>
        <v>0</v>
      </c>
      <c r="U293" s="17">
        <f t="shared" si="26"/>
        <v>0</v>
      </c>
      <c r="V293" s="17">
        <f t="shared" si="26"/>
        <v>-0.01</v>
      </c>
      <c r="W293" s="17">
        <f t="shared" si="26"/>
        <v>0</v>
      </c>
      <c r="X293" s="17">
        <f t="shared" si="26"/>
        <v>0</v>
      </c>
      <c r="Y293" s="17">
        <f t="shared" si="26"/>
        <v>0</v>
      </c>
      <c r="Z293" s="17">
        <f t="shared" si="26"/>
        <v>0</v>
      </c>
      <c r="AA293" s="17">
        <f t="shared" si="26"/>
        <v>0</v>
      </c>
      <c r="AB293" s="19">
        <f>SUM(U288:AA288)</f>
        <v>0</v>
      </c>
      <c r="AC293" s="78" t="str">
        <f>+F293</f>
        <v>SE</v>
      </c>
    </row>
    <row r="294" spans="1:29" x14ac:dyDescent="0.25">
      <c r="B294" s="111">
        <v>-1</v>
      </c>
      <c r="C294" s="35"/>
      <c r="F294" s="12"/>
      <c r="G294" s="12"/>
      <c r="H294" s="12"/>
      <c r="I294" s="19"/>
      <c r="J294" s="12"/>
      <c r="K294" s="36">
        <f>IF(D295&gt;K$281,+K$281,D295)</f>
        <v>0</v>
      </c>
      <c r="L294" s="36">
        <f>IF(D295&gt;K294,+D295-K294,0)</f>
        <v>0</v>
      </c>
      <c r="M294" s="35">
        <f>IF(B295&gt;D295,+B295-D295,0)</f>
        <v>0</v>
      </c>
      <c r="N294" s="35"/>
      <c r="O294" s="35"/>
      <c r="P294" s="35"/>
      <c r="Q294" s="35"/>
      <c r="R294" s="12"/>
      <c r="S294" s="51">
        <v>1</v>
      </c>
      <c r="T294" s="12"/>
      <c r="U294" s="12"/>
      <c r="V294" s="12"/>
      <c r="W294" s="12"/>
      <c r="X294" s="12"/>
      <c r="Y294" s="12"/>
      <c r="Z294" s="12"/>
      <c r="AA294" s="12"/>
    </row>
    <row r="295" spans="1:29" ht="13" x14ac:dyDescent="0.3">
      <c r="A295" s="1" t="s">
        <v>73</v>
      </c>
      <c r="B295" s="111">
        <f>IF(AND('AES Indiana Sep 23 Bill Calc.'!$D$17="SE",'AES Indiana Sep 23 Bill Calc.'!$D$18="Yes 100%",'AES Indiana Sep 23 Bill Calc.'!$D$20="Yes Before 2018"),'AES Indiana Sep 23 Bill Calc.'!$D$19,-1)</f>
        <v>-1</v>
      </c>
      <c r="C295" s="111" t="b">
        <f>IF(AND('AES Indiana Sep 23 Bill Calc.'!$D$17="SE",'AES Indiana Sep 23 Bill Calc.'!$D$18="Yes 100%",'AES Indiana Sep 23 Bill Calc.'!$D$20="Yes Before 2018"),'AES Indiana Sep 23 Bill Calc.'!$D$23)</f>
        <v>0</v>
      </c>
      <c r="D295" s="2">
        <f>ROUND(C295*D$280,0)</f>
        <v>0</v>
      </c>
      <c r="F295" s="37" t="s">
        <v>111</v>
      </c>
      <c r="G295" s="17">
        <f>SUM(J295:M295,O295:P295,R295:AA295)</f>
        <v>54.18</v>
      </c>
      <c r="H295" s="19" t="e">
        <f>IF(ISBLANK(B295),0,+#REF!/B295)</f>
        <v>#REF!</v>
      </c>
      <c r="I295" s="19"/>
      <c r="J295" s="16">
        <f>IF(ISBLANK(B295),0,+J$280)</f>
        <v>54.18</v>
      </c>
      <c r="K295" s="16">
        <f>ROUND(K294*K$280,2)</f>
        <v>0</v>
      </c>
      <c r="L295" s="16">
        <f>ROUND(L294*L$280,2)</f>
        <v>0</v>
      </c>
      <c r="M295" s="16">
        <f>ROUND(M294*M$280,2)</f>
        <v>0</v>
      </c>
      <c r="N295" s="16">
        <f>SUM(K295:M295)</f>
        <v>0</v>
      </c>
      <c r="O295" s="16"/>
      <c r="P295" s="16"/>
      <c r="Q295" s="16"/>
      <c r="R295" s="8"/>
      <c r="S295" s="17">
        <f>ROUND($B295*S$280*S294,2)</f>
        <v>0</v>
      </c>
      <c r="T295" s="17">
        <f>ROUND($B295*T$280,2)</f>
        <v>0</v>
      </c>
      <c r="U295" s="17">
        <f>ROUND($B295*U$280,2)</f>
        <v>0</v>
      </c>
      <c r="V295" s="17">
        <f>ROUND($B295*V$273,2)</f>
        <v>0</v>
      </c>
      <c r="W295" s="17">
        <f>ROUND($B295*W$280,2)</f>
        <v>0</v>
      </c>
      <c r="X295" s="17">
        <f>ROUND($B295*X$280,2)</f>
        <v>0</v>
      </c>
      <c r="Y295" s="17">
        <f>ROUND($B295*Y$280,2)</f>
        <v>0</v>
      </c>
      <c r="Z295" s="17">
        <f>ROUND($B295*Z$280,2)</f>
        <v>0</v>
      </c>
      <c r="AA295" s="17">
        <f>ROUND($B295*AA$280,2)</f>
        <v>0</v>
      </c>
      <c r="AB295" s="19">
        <f>SUM(U290:AA290)</f>
        <v>0</v>
      </c>
      <c r="AC295" s="78" t="str">
        <f>+F295</f>
        <v>SE7</v>
      </c>
    </row>
    <row r="296" spans="1:29" x14ac:dyDescent="0.25">
      <c r="A296" s="9"/>
      <c r="B296" s="111">
        <v>-1</v>
      </c>
      <c r="C296" s="35"/>
      <c r="F296" s="12"/>
      <c r="G296" s="12"/>
      <c r="H296" s="12"/>
      <c r="I296" s="19"/>
      <c r="J296" s="12"/>
      <c r="K296" s="36">
        <f>IF(D297&gt;K$281,+K$281,D297)</f>
        <v>0</v>
      </c>
      <c r="L296" s="36">
        <f>IF(D297&gt;K296,+D297-K296,0)</f>
        <v>0</v>
      </c>
      <c r="M296" s="35">
        <f>IF(B297&gt;D297,+B297-D297,0)</f>
        <v>0</v>
      </c>
      <c r="N296" s="35"/>
      <c r="O296" s="35"/>
      <c r="P296" s="35"/>
      <c r="Q296" s="35"/>
      <c r="R296" s="12"/>
      <c r="S296" s="51">
        <v>0.5</v>
      </c>
      <c r="T296" s="12"/>
      <c r="U296" s="12"/>
      <c r="V296" s="12"/>
      <c r="W296" s="12"/>
      <c r="X296" s="12"/>
      <c r="Y296" s="12"/>
      <c r="Z296" s="12"/>
      <c r="AA296" s="12"/>
    </row>
    <row r="297" spans="1:29" ht="13" x14ac:dyDescent="0.3">
      <c r="A297" s="57" t="s">
        <v>171</v>
      </c>
      <c r="B297" s="111">
        <f>IF(AND('AES Indiana Sep 23 Bill Calc.'!$D$17="SE",'AES Indiana Sep 23 Bill Calc.'!$D$18="Yes 50%",'AES Indiana Sep 23 Bill Calc.'!$D$20="Yes Before 2018"),'AES Indiana Sep 23 Bill Calc.'!$D$19,-1)</f>
        <v>-1</v>
      </c>
      <c r="C297" s="111" t="b">
        <f>IF(AND('AES Indiana Sep 23 Bill Calc.'!$D$17="SE",'AES Indiana Sep 23 Bill Calc.'!$D$18="Yes 50%",'AES Indiana Sep 23 Bill Calc.'!$D$20="Yes Before 2018"),'AES Indiana Sep 23 Bill Calc.'!$D$23)</f>
        <v>0</v>
      </c>
      <c r="D297" s="2">
        <f>ROUND(C297*D$280,0)</f>
        <v>0</v>
      </c>
      <c r="F297" s="37" t="s">
        <v>111</v>
      </c>
      <c r="G297" s="17">
        <f>SUM(J297:M297,O297:P297,R297:AA297)</f>
        <v>54.18</v>
      </c>
      <c r="H297" s="19" t="e">
        <f>IF(ISBLANK(B297),0,+#REF!/B297)</f>
        <v>#REF!</v>
      </c>
      <c r="I297" s="19"/>
      <c r="J297" s="16">
        <f>IF(ISBLANK(B297),0,+J$280)</f>
        <v>54.18</v>
      </c>
      <c r="K297" s="16">
        <f>ROUND(K296*K$280,2)</f>
        <v>0</v>
      </c>
      <c r="L297" s="16">
        <f>ROUND(L296*L$280,2)</f>
        <v>0</v>
      </c>
      <c r="M297" s="16">
        <f>ROUND(M296*M$280,2)</f>
        <v>0</v>
      </c>
      <c r="N297" s="16">
        <f>SUM(K297:M297)</f>
        <v>0</v>
      </c>
      <c r="O297" s="16"/>
      <c r="P297" s="16"/>
      <c r="Q297" s="16"/>
      <c r="R297" s="8"/>
      <c r="S297" s="17">
        <f>ROUND($B297*S$280*S296,2)</f>
        <v>0</v>
      </c>
      <c r="T297" s="17">
        <f>ROUND($B297*T$280,2)</f>
        <v>0</v>
      </c>
      <c r="U297" s="17">
        <f>ROUND($B297*U$280,2)</f>
        <v>0</v>
      </c>
      <c r="V297" s="17">
        <f>ROUND($B297*V$273,2)</f>
        <v>0</v>
      </c>
      <c r="W297" s="17">
        <f>ROUND($B297*W$280,2)</f>
        <v>0</v>
      </c>
      <c r="X297" s="17">
        <f>ROUND($B297*X$280,2)</f>
        <v>0</v>
      </c>
      <c r="Y297" s="17">
        <f>ROUND($B297*Y$280,2)</f>
        <v>0</v>
      </c>
      <c r="Z297" s="17">
        <f>ROUND($B297*Z$280,2)</f>
        <v>0</v>
      </c>
      <c r="AA297" s="17">
        <f>ROUND($B297*AA$280,2)</f>
        <v>0</v>
      </c>
      <c r="AB297" s="19">
        <f>SUM(U292:AA292)</f>
        <v>0</v>
      </c>
      <c r="AC297" s="78" t="str">
        <f>+F297</f>
        <v>SE7</v>
      </c>
    </row>
    <row r="298" spans="1:29" x14ac:dyDescent="0.25">
      <c r="A298" s="9"/>
      <c r="B298" s="111">
        <v>-1</v>
      </c>
      <c r="C298" s="35"/>
      <c r="F298" s="12"/>
      <c r="G298" s="12"/>
      <c r="H298" s="12"/>
      <c r="I298" s="19"/>
      <c r="J298" s="12"/>
      <c r="K298" s="36">
        <f>IF(D299&gt;K$281,+K$281,D299)</f>
        <v>0</v>
      </c>
      <c r="L298" s="36">
        <f>IF(D299&gt;K298,+D299-K298,0)</f>
        <v>0</v>
      </c>
      <c r="M298" s="35">
        <f>IF(B299&gt;D299,+B299-D299,0)</f>
        <v>0</v>
      </c>
      <c r="N298" s="35"/>
      <c r="O298" s="35"/>
      <c r="P298" s="35"/>
      <c r="Q298" s="35"/>
      <c r="R298" s="12"/>
      <c r="S298" s="51">
        <v>0.25</v>
      </c>
      <c r="T298" s="12"/>
      <c r="U298" s="12"/>
      <c r="V298" s="12"/>
      <c r="W298" s="12"/>
      <c r="X298" s="12"/>
      <c r="Y298" s="12"/>
      <c r="Z298" s="12"/>
      <c r="AA298" s="12"/>
    </row>
    <row r="299" spans="1:29" ht="13" x14ac:dyDescent="0.3">
      <c r="A299" s="57" t="s">
        <v>158</v>
      </c>
      <c r="B299" s="111">
        <f>IF(AND('AES Indiana Sep 23 Bill Calc.'!$D$17="SE",'AES Indiana Sep 23 Bill Calc.'!$D$18="Yes 25%",'AES Indiana Sep 23 Bill Calc.'!$D$20="Yes Before 2018"),'AES Indiana Sep 23 Bill Calc.'!$D$19,-1)</f>
        <v>-1</v>
      </c>
      <c r="C299" s="111" t="b">
        <f>IF(AND('AES Indiana Sep 23 Bill Calc.'!$D$17="SE",'AES Indiana Sep 23 Bill Calc.'!$D$18="Yes 25%",'AES Indiana Sep 23 Bill Calc.'!$D$20="Yes Before 2018"),'AES Indiana Sep 23 Bill Calc.'!$D$23)</f>
        <v>0</v>
      </c>
      <c r="D299" s="2">
        <f>ROUND(C299*D$280,0)</f>
        <v>0</v>
      </c>
      <c r="F299" s="37" t="s">
        <v>111</v>
      </c>
      <c r="G299" s="17">
        <f>SUM(J299:M299,O299:P299,R299:AA299)</f>
        <v>54.18</v>
      </c>
      <c r="H299" s="19" t="e">
        <f>IF(ISBLANK(B299),0,+#REF!/B299)</f>
        <v>#REF!</v>
      </c>
      <c r="I299" s="19"/>
      <c r="J299" s="16">
        <f>IF(ISBLANK(B299),0,+J$280)</f>
        <v>54.18</v>
      </c>
      <c r="K299" s="16">
        <f>ROUND(K298*K$280,2)</f>
        <v>0</v>
      </c>
      <c r="L299" s="16">
        <f>ROUND(L298*L$280,2)</f>
        <v>0</v>
      </c>
      <c r="M299" s="16">
        <f>ROUND(M298*M$280,2)</f>
        <v>0</v>
      </c>
      <c r="N299" s="16">
        <f>SUM(K299:M299)</f>
        <v>0</v>
      </c>
      <c r="O299" s="16"/>
      <c r="P299" s="16"/>
      <c r="Q299" s="16"/>
      <c r="R299" s="8"/>
      <c r="S299" s="17">
        <f>ROUND($B299*S$280*S298,2)</f>
        <v>0</v>
      </c>
      <c r="T299" s="17">
        <f>ROUND($B299*T$280,2)</f>
        <v>0</v>
      </c>
      <c r="U299" s="17">
        <f>ROUND($B299*U$280,2)</f>
        <v>0</v>
      </c>
      <c r="V299" s="17">
        <f>ROUND($B299*V$273,2)</f>
        <v>0</v>
      </c>
      <c r="W299" s="17">
        <f>ROUND($B299*W$280,2)</f>
        <v>0</v>
      </c>
      <c r="X299" s="17">
        <f>ROUND($B299*X$280,2)</f>
        <v>0</v>
      </c>
      <c r="Y299" s="17">
        <f>ROUND($B299*Y$280,2)</f>
        <v>0</v>
      </c>
      <c r="Z299" s="17">
        <f>ROUND($B299*Z$280,2)</f>
        <v>0</v>
      </c>
      <c r="AA299" s="17">
        <f>ROUND($B299*AA$280,2)</f>
        <v>0</v>
      </c>
      <c r="AB299" s="19">
        <f>SUM(U294:AA294)</f>
        <v>0</v>
      </c>
      <c r="AC299" s="78" t="str">
        <f>+F299</f>
        <v>SE7</v>
      </c>
    </row>
    <row r="300" spans="1:29" x14ac:dyDescent="0.25">
      <c r="A300" s="9"/>
      <c r="B300" s="111">
        <v>-1</v>
      </c>
      <c r="C300" s="35"/>
      <c r="F300" s="12"/>
      <c r="G300" s="12"/>
      <c r="H300" s="12"/>
      <c r="I300" s="19"/>
      <c r="J300" s="12"/>
      <c r="K300" s="36">
        <f>IF(D301&gt;K$281,+K$281,D301)</f>
        <v>0</v>
      </c>
      <c r="L300" s="36">
        <f>IF(D301&gt;K300,+D301-K300,0)</f>
        <v>0</v>
      </c>
      <c r="M300" s="35">
        <f>IF(B301&gt;D301,+B301-D301,0)</f>
        <v>0</v>
      </c>
      <c r="N300" s="35"/>
      <c r="O300" s="35"/>
      <c r="P300" s="35"/>
      <c r="Q300" s="35"/>
      <c r="R300" s="12"/>
      <c r="S300" s="51">
        <v>0.1</v>
      </c>
      <c r="T300" s="12"/>
      <c r="U300" s="12"/>
      <c r="V300" s="12"/>
      <c r="W300" s="12"/>
      <c r="X300" s="12"/>
      <c r="Y300" s="12"/>
      <c r="Z300" s="12"/>
      <c r="AA300" s="12"/>
    </row>
    <row r="301" spans="1:29" ht="13" x14ac:dyDescent="0.3">
      <c r="A301" s="57" t="s">
        <v>173</v>
      </c>
      <c r="B301" s="111">
        <f>IF(AND('AES Indiana Sep 23 Bill Calc.'!$D$17="SE",'AES Indiana Sep 23 Bill Calc.'!$D$18="Yes 10%",'AES Indiana Sep 23 Bill Calc.'!$D$20="Yes Before 2018"),'AES Indiana Sep 23 Bill Calc.'!$D$19,-1)</f>
        <v>-1</v>
      </c>
      <c r="C301" s="111" t="b">
        <f>IF(AND('AES Indiana Sep 23 Bill Calc.'!$D$17="SE",'AES Indiana Sep 23 Bill Calc.'!$D$18="Yes 10%",'AES Indiana Sep 23 Bill Calc.'!$D$20="Yes Before 2018"),'AES Indiana Sep 23 Bill Calc.'!$D$23)</f>
        <v>0</v>
      </c>
      <c r="D301" s="2">
        <f>ROUND(C301*D$280,0)</f>
        <v>0</v>
      </c>
      <c r="F301" s="37" t="s">
        <v>111</v>
      </c>
      <c r="G301" s="17">
        <f>SUM(J301:M301,O301:P301,R301:AA301)</f>
        <v>54.18</v>
      </c>
      <c r="H301" s="19" t="e">
        <f>IF(ISBLANK(B301),0,+#REF!/B301)</f>
        <v>#REF!</v>
      </c>
      <c r="I301" s="19"/>
      <c r="J301" s="16">
        <f>IF(ISBLANK(B301),0,+J$280)</f>
        <v>54.18</v>
      </c>
      <c r="K301" s="16">
        <f>ROUND(K300*K$280,2)</f>
        <v>0</v>
      </c>
      <c r="L301" s="16">
        <f>ROUND(L300*L$280,2)</f>
        <v>0</v>
      </c>
      <c r="M301" s="16">
        <f>ROUND(M300*M$280,2)</f>
        <v>0</v>
      </c>
      <c r="N301" s="16">
        <f>SUM(K301:M301)</f>
        <v>0</v>
      </c>
      <c r="O301" s="16"/>
      <c r="P301" s="16"/>
      <c r="Q301" s="16"/>
      <c r="R301" s="8"/>
      <c r="S301" s="17">
        <f>ROUND($B301*S$280*S300,2)</f>
        <v>0</v>
      </c>
      <c r="T301" s="17">
        <f>ROUND($B301*T$280,2)</f>
        <v>0</v>
      </c>
      <c r="U301" s="17">
        <f>ROUND($B301*U$280,2)</f>
        <v>0</v>
      </c>
      <c r="V301" s="17">
        <f>ROUND($B301*V$273,2)</f>
        <v>0</v>
      </c>
      <c r="W301" s="17">
        <f>ROUND($B301*W$280,2)</f>
        <v>0</v>
      </c>
      <c r="X301" s="17">
        <f>ROUND($B301*X$280,2)</f>
        <v>0</v>
      </c>
      <c r="Y301" s="17">
        <f>ROUND($B301*Y$280,2)</f>
        <v>0</v>
      </c>
      <c r="Z301" s="17">
        <f>ROUND($B301*Z$280,2)</f>
        <v>0</v>
      </c>
      <c r="AA301" s="17">
        <f>ROUND($B301*AA$280,2)</f>
        <v>0</v>
      </c>
      <c r="AB301" s="19">
        <f>SUM(U296:AA296)</f>
        <v>0</v>
      </c>
      <c r="AC301" s="78" t="str">
        <f>+F301</f>
        <v>SE7</v>
      </c>
    </row>
    <row r="302" spans="1:29" x14ac:dyDescent="0.25">
      <c r="A302" s="9"/>
      <c r="B302" s="111">
        <v>-1</v>
      </c>
      <c r="C302" s="35"/>
      <c r="F302" s="12"/>
      <c r="G302" s="12"/>
      <c r="H302" s="12"/>
      <c r="I302" s="19"/>
      <c r="J302" s="12"/>
      <c r="K302" s="36">
        <f>IF(D303&gt;K$281,+K$281,D303)</f>
        <v>0</v>
      </c>
      <c r="L302" s="36">
        <f>IF(D303&gt;K302,+D303-K302,0)</f>
        <v>0</v>
      </c>
      <c r="M302" s="35">
        <f>IF(B303&gt;D303,+B303-D303,0)</f>
        <v>0</v>
      </c>
      <c r="N302" s="35"/>
      <c r="O302" s="35"/>
      <c r="P302" s="35"/>
      <c r="Q302" s="35"/>
      <c r="R302" s="12"/>
      <c r="S302" s="51">
        <v>0</v>
      </c>
      <c r="T302" s="12"/>
      <c r="U302" s="12"/>
      <c r="V302" s="12"/>
      <c r="W302" s="12"/>
      <c r="X302" s="12"/>
      <c r="Y302" s="12"/>
      <c r="Z302" s="12"/>
      <c r="AA302" s="12"/>
    </row>
    <row r="303" spans="1:29" ht="13" x14ac:dyDescent="0.3">
      <c r="A303" s="57" t="s">
        <v>172</v>
      </c>
      <c r="B303" s="111">
        <f>IF(AND('AES Indiana Sep 23 Bill Calc.'!$D$17="SE",'AES Indiana Sep 23 Bill Calc.'!$D$18="No",'AES Indiana Sep 23 Bill Calc.'!$D$20="Yes Before 2018"),'AES Indiana Sep 23 Bill Calc.'!$D$19,-1)</f>
        <v>-1</v>
      </c>
      <c r="C303" s="111" t="b">
        <f>IF(AND('AES Indiana Sep 23 Bill Calc.'!$D$17="SE",'AES Indiana Sep 23 Bill Calc.'!$D$18="No",'AES Indiana Sep 23 Bill Calc.'!$D$20="Yes Before 2018"),'AES Indiana Sep 23 Bill Calc.'!$D$23)</f>
        <v>0</v>
      </c>
      <c r="D303" s="2">
        <f>ROUND(C303*D$280,0)</f>
        <v>0</v>
      </c>
      <c r="F303" s="37" t="s">
        <v>111</v>
      </c>
      <c r="G303" s="17">
        <f>SUM(J303:M303,O303:P303,R303:AA303)</f>
        <v>54.18</v>
      </c>
      <c r="H303" s="19" t="e">
        <f>IF(ISBLANK(B303),0,+#REF!/B303)</f>
        <v>#REF!</v>
      </c>
      <c r="I303" s="19"/>
      <c r="J303" s="16">
        <f>IF(ISBLANK(B303),0,+J$280)</f>
        <v>54.18</v>
      </c>
      <c r="K303" s="16">
        <f>ROUND(K302*K$280,2)</f>
        <v>0</v>
      </c>
      <c r="L303" s="16">
        <f>ROUND(L302*L$280,2)</f>
        <v>0</v>
      </c>
      <c r="M303" s="16">
        <f>ROUND(M302*M$280,2)</f>
        <v>0</v>
      </c>
      <c r="N303" s="16">
        <f>SUM(K303:M303)</f>
        <v>0</v>
      </c>
      <c r="O303" s="16"/>
      <c r="P303" s="16"/>
      <c r="Q303" s="16"/>
      <c r="R303" s="8"/>
      <c r="S303" s="17">
        <f>ROUND($B303*S$280*S302,2)</f>
        <v>0</v>
      </c>
      <c r="T303" s="17">
        <f>ROUND($B303*T$280,2)</f>
        <v>0</v>
      </c>
      <c r="U303" s="17">
        <f>ROUND($B303*U$280,2)</f>
        <v>0</v>
      </c>
      <c r="V303" s="17">
        <f>ROUND($B303*V$273,2)</f>
        <v>0</v>
      </c>
      <c r="W303" s="17">
        <f>ROUND($B303*W$280,2)</f>
        <v>0</v>
      </c>
      <c r="X303" s="17">
        <f>ROUND($B303*X$280,2)</f>
        <v>0</v>
      </c>
      <c r="Y303" s="17">
        <f>ROUND($B303*Y$280,2)</f>
        <v>0</v>
      </c>
      <c r="Z303" s="17">
        <f>ROUND($B303*Z$280,2)</f>
        <v>0</v>
      </c>
      <c r="AA303" s="17">
        <f>ROUND($B303*AA$280,2)</f>
        <v>0</v>
      </c>
      <c r="AB303" s="19">
        <f>SUM(U298:AA298)</f>
        <v>0</v>
      </c>
      <c r="AC303" s="78" t="str">
        <f>+F303</f>
        <v>SE7</v>
      </c>
    </row>
    <row r="304" spans="1:29" x14ac:dyDescent="0.25">
      <c r="B304" s="111">
        <v>-1</v>
      </c>
      <c r="C304" s="35"/>
      <c r="F304" s="12"/>
      <c r="G304" s="12"/>
      <c r="H304" s="12"/>
      <c r="I304" s="19"/>
      <c r="J304" s="12"/>
      <c r="K304" s="36">
        <f>IF(D305&gt;K$281,+K$281,D305)</f>
        <v>0</v>
      </c>
      <c r="L304" s="36">
        <f>IF(D305&gt;K304,+D305-K304,0)</f>
        <v>0</v>
      </c>
      <c r="M304" s="35">
        <f>IF(B305&gt;D305,+B305-D305,0)</f>
        <v>0</v>
      </c>
      <c r="N304" s="35"/>
      <c r="O304" s="35"/>
      <c r="P304" s="35"/>
      <c r="Q304" s="35"/>
      <c r="R304" s="12"/>
      <c r="S304" s="51">
        <v>1</v>
      </c>
      <c r="T304" s="12"/>
      <c r="U304" s="12"/>
      <c r="V304" s="12"/>
      <c r="W304" s="12"/>
      <c r="X304" s="12"/>
      <c r="Y304" s="12"/>
      <c r="Z304" s="12"/>
      <c r="AA304" s="12"/>
    </row>
    <row r="305" spans="1:29" ht="13" x14ac:dyDescent="0.3">
      <c r="A305" s="1" t="s">
        <v>73</v>
      </c>
      <c r="B305" s="111">
        <f>IF(AND('AES Indiana Sep 23 Bill Calc.'!$D$17="SE",'AES Indiana Sep 23 Bill Calc.'!$D$18="Yes 100%",'AES Indiana Sep 23 Bill Calc.'!$D$20="Yes 2018"),'AES Indiana Sep 23 Bill Calc.'!$D$19,-1)</f>
        <v>-1</v>
      </c>
      <c r="C305" s="111" t="b">
        <f>IF(AND('AES Indiana Sep 23 Bill Calc.'!$D$17="SE",'AES Indiana Sep 23 Bill Calc.'!$D$18="Yes 100%",'AES Indiana Sep 23 Bill Calc.'!$D$20="Yes 2018"),'AES Indiana Sep 23 Bill Calc.'!$D$23)</f>
        <v>0</v>
      </c>
      <c r="D305" s="2">
        <f>ROUND(C305*D$280,0)</f>
        <v>0</v>
      </c>
      <c r="F305" s="37" t="s">
        <v>124</v>
      </c>
      <c r="G305" s="17">
        <f>SUM(J305:M305,O305:P305,R305:AA305)</f>
        <v>54.18</v>
      </c>
      <c r="H305" s="19" t="e">
        <f>IF(ISBLANK(B305),0,+#REF!/B305)</f>
        <v>#REF!</v>
      </c>
      <c r="I305" s="19"/>
      <c r="J305" s="16">
        <f>IF(ISBLANK(B305),0,+J$280)</f>
        <v>54.18</v>
      </c>
      <c r="K305" s="16">
        <f>ROUND(K304*K$280,2)</f>
        <v>0</v>
      </c>
      <c r="L305" s="16">
        <f>ROUND(L304*L$280,2)</f>
        <v>0</v>
      </c>
      <c r="M305" s="16">
        <f>ROUND(M304*M$280,2)</f>
        <v>0</v>
      </c>
      <c r="N305" s="16">
        <f>SUM(K305:M305)</f>
        <v>0</v>
      </c>
      <c r="O305" s="16"/>
      <c r="P305" s="16"/>
      <c r="Q305" s="16"/>
      <c r="R305" s="8"/>
      <c r="S305" s="17">
        <f>ROUND($B305*S$280*S304,2)</f>
        <v>0</v>
      </c>
      <c r="T305" s="17">
        <f>ROUND($B305*T$280,2)</f>
        <v>0</v>
      </c>
      <c r="U305" s="17">
        <f>ROUND($B305*U$280,2)</f>
        <v>0</v>
      </c>
      <c r="V305" s="17">
        <f>ROUND($B305*V$274,2)</f>
        <v>0</v>
      </c>
      <c r="W305" s="17">
        <f>ROUND($B305*W$280,2)</f>
        <v>0</v>
      </c>
      <c r="X305" s="17">
        <f>ROUND($B305*X$280,2)</f>
        <v>0</v>
      </c>
      <c r="Y305" s="17">
        <f>ROUND($B305*Y$280,2)</f>
        <v>0</v>
      </c>
      <c r="Z305" s="17">
        <f>ROUND($B305*Z$280,2)</f>
        <v>0</v>
      </c>
      <c r="AA305" s="17">
        <f>ROUND($B305*AA$280,2)</f>
        <v>0</v>
      </c>
      <c r="AB305" s="19">
        <f>SUM(U300:AA300)</f>
        <v>0</v>
      </c>
      <c r="AC305" s="78" t="str">
        <f>+F305</f>
        <v>SE8</v>
      </c>
    </row>
    <row r="306" spans="1:29" x14ac:dyDescent="0.25">
      <c r="A306" s="9"/>
      <c r="B306" s="111">
        <v>-1</v>
      </c>
      <c r="C306" s="35"/>
      <c r="F306" s="12"/>
      <c r="G306" s="12"/>
      <c r="H306" s="12"/>
      <c r="I306" s="19"/>
      <c r="J306" s="12"/>
      <c r="K306" s="36">
        <f>IF(D307&gt;K$281,+K$281,D307)</f>
        <v>0</v>
      </c>
      <c r="L306" s="36">
        <f>IF(D307&gt;K306,+D307-K306,0)</f>
        <v>0</v>
      </c>
      <c r="M306" s="35">
        <f>IF(B307&gt;D307,+B307-D307,0)</f>
        <v>0</v>
      </c>
      <c r="N306" s="35"/>
      <c r="O306" s="35"/>
      <c r="P306" s="35"/>
      <c r="Q306" s="35"/>
      <c r="R306" s="12"/>
      <c r="S306" s="51">
        <v>0.5</v>
      </c>
      <c r="T306" s="12"/>
      <c r="U306" s="12"/>
      <c r="V306" s="12"/>
      <c r="W306" s="12"/>
      <c r="X306" s="12"/>
      <c r="Y306" s="12"/>
      <c r="Z306" s="12"/>
      <c r="AA306" s="12"/>
    </row>
    <row r="307" spans="1:29" ht="13" x14ac:dyDescent="0.3">
      <c r="A307" s="57" t="s">
        <v>171</v>
      </c>
      <c r="B307" s="111">
        <f>IF(AND('AES Indiana Sep 23 Bill Calc.'!$D$17="SE",'AES Indiana Sep 23 Bill Calc.'!$D$18="Yes 50%",'AES Indiana Sep 23 Bill Calc.'!$D$20="Yes 2018"),'AES Indiana Sep 23 Bill Calc.'!$D$19,-1)</f>
        <v>-1</v>
      </c>
      <c r="C307" s="111" t="b">
        <f>IF(AND('AES Indiana Sep 23 Bill Calc.'!$D$17="SE",'AES Indiana Sep 23 Bill Calc.'!$D$18="Yes 50%",'AES Indiana Sep 23 Bill Calc.'!$D$20="Yes 2018"),'AES Indiana Sep 23 Bill Calc.'!$D$23)</f>
        <v>0</v>
      </c>
      <c r="D307" s="2">
        <f>ROUND(C307*D$280,0)</f>
        <v>0</v>
      </c>
      <c r="F307" s="37" t="s">
        <v>124</v>
      </c>
      <c r="G307" s="17">
        <f>SUM(J307:M307,O307:P307,R307:AA307)</f>
        <v>54.18</v>
      </c>
      <c r="H307" s="19" t="e">
        <f>IF(ISBLANK(B307),0,+#REF!/B307)</f>
        <v>#REF!</v>
      </c>
      <c r="I307" s="19"/>
      <c r="J307" s="16">
        <f>IF(ISBLANK(B307),0,+J$280)</f>
        <v>54.18</v>
      </c>
      <c r="K307" s="16">
        <f>ROUND(K306*K$280,2)</f>
        <v>0</v>
      </c>
      <c r="L307" s="16">
        <f>ROUND(L306*L$280,2)</f>
        <v>0</v>
      </c>
      <c r="M307" s="16">
        <f>ROUND(M306*M$280,2)</f>
        <v>0</v>
      </c>
      <c r="N307" s="16">
        <f>SUM(K307:M307)</f>
        <v>0</v>
      </c>
      <c r="O307" s="16"/>
      <c r="P307" s="16"/>
      <c r="Q307" s="16"/>
      <c r="R307" s="8"/>
      <c r="S307" s="17">
        <f>ROUND($B307*S$280*S306,2)</f>
        <v>0</v>
      </c>
      <c r="T307" s="17">
        <f>ROUND($B307*T$280,2)</f>
        <v>0</v>
      </c>
      <c r="U307" s="17">
        <f>ROUND($B307*U$280,2)</f>
        <v>0</v>
      </c>
      <c r="V307" s="17">
        <f>ROUND($B307*V$274,2)</f>
        <v>0</v>
      </c>
      <c r="W307" s="17">
        <f>ROUND($B307*W$280,2)</f>
        <v>0</v>
      </c>
      <c r="X307" s="17">
        <f>ROUND($B307*X$280,2)</f>
        <v>0</v>
      </c>
      <c r="Y307" s="17">
        <f>ROUND($B307*Y$280,2)</f>
        <v>0</v>
      </c>
      <c r="Z307" s="17">
        <f>ROUND($B307*Z$280,2)</f>
        <v>0</v>
      </c>
      <c r="AA307" s="17">
        <f>ROUND($B307*AA$280,2)</f>
        <v>0</v>
      </c>
      <c r="AB307" s="19">
        <f>SUM(U302:AA302)</f>
        <v>0</v>
      </c>
      <c r="AC307" s="78" t="str">
        <f>+F307</f>
        <v>SE8</v>
      </c>
    </row>
    <row r="308" spans="1:29" x14ac:dyDescent="0.25">
      <c r="A308" s="9"/>
      <c r="B308" s="111">
        <v>-1</v>
      </c>
      <c r="C308" s="35"/>
      <c r="F308" s="12"/>
      <c r="G308" s="12"/>
      <c r="H308" s="12"/>
      <c r="I308" s="19"/>
      <c r="J308" s="12"/>
      <c r="K308" s="36">
        <f>IF(D309&gt;K$281,+K$281,D309)</f>
        <v>0</v>
      </c>
      <c r="L308" s="36">
        <f>IF(D309&gt;K308,+D309-K308,0)</f>
        <v>0</v>
      </c>
      <c r="M308" s="35">
        <f>IF(B309&gt;D309,+B309-D309,0)</f>
        <v>0</v>
      </c>
      <c r="N308" s="35"/>
      <c r="O308" s="35"/>
      <c r="P308" s="35"/>
      <c r="Q308" s="35"/>
      <c r="R308" s="12"/>
      <c r="S308" s="51">
        <v>0.25</v>
      </c>
      <c r="T308" s="12"/>
      <c r="U308" s="12"/>
      <c r="V308" s="12"/>
      <c r="W308" s="12"/>
      <c r="X308" s="12"/>
      <c r="Y308" s="12"/>
      <c r="Z308" s="12"/>
      <c r="AA308" s="12"/>
    </row>
    <row r="309" spans="1:29" ht="13" x14ac:dyDescent="0.3">
      <c r="A309" s="57" t="s">
        <v>158</v>
      </c>
      <c r="B309" s="111">
        <f>IF(AND('AES Indiana Sep 23 Bill Calc.'!$D$17="SE",'AES Indiana Sep 23 Bill Calc.'!$D$18="Yes 25%",'AES Indiana Sep 23 Bill Calc.'!$D$20="Yes 2018"),'AES Indiana Sep 23 Bill Calc.'!$D$19,-1)</f>
        <v>-1</v>
      </c>
      <c r="C309" s="111" t="b">
        <f>IF(AND('AES Indiana Sep 23 Bill Calc.'!$D$17="SE",'AES Indiana Sep 23 Bill Calc.'!$D$18="Yes 25%",'AES Indiana Sep 23 Bill Calc.'!$D$20="Yes 2018"),'AES Indiana Sep 23 Bill Calc.'!$D$23)</f>
        <v>0</v>
      </c>
      <c r="D309" s="2">
        <f>ROUND(C309*D$280,0)</f>
        <v>0</v>
      </c>
      <c r="F309" s="37" t="s">
        <v>124</v>
      </c>
      <c r="G309" s="17">
        <f>SUM(J309:M309,O309:P309,R309:AA309)</f>
        <v>54.18</v>
      </c>
      <c r="H309" s="19" t="e">
        <f>IF(ISBLANK(B309),0,+#REF!/B309)</f>
        <v>#REF!</v>
      </c>
      <c r="I309" s="19"/>
      <c r="J309" s="16">
        <f>IF(ISBLANK(B309),0,+J$280)</f>
        <v>54.18</v>
      </c>
      <c r="K309" s="16">
        <f>ROUND(K308*K$280,2)</f>
        <v>0</v>
      </c>
      <c r="L309" s="16">
        <f>ROUND(L308*L$280,2)</f>
        <v>0</v>
      </c>
      <c r="M309" s="16">
        <f>ROUND(M308*M$280,2)</f>
        <v>0</v>
      </c>
      <c r="N309" s="16">
        <f>SUM(K309:M309)</f>
        <v>0</v>
      </c>
      <c r="O309" s="16"/>
      <c r="P309" s="16"/>
      <c r="Q309" s="16"/>
      <c r="R309" s="8"/>
      <c r="S309" s="17">
        <f>ROUND($B309*S$280*S308,2)</f>
        <v>0</v>
      </c>
      <c r="T309" s="17">
        <f>ROUND($B309*T$280,2)</f>
        <v>0</v>
      </c>
      <c r="U309" s="17">
        <f>ROUND($B309*U$280,2)</f>
        <v>0</v>
      </c>
      <c r="V309" s="17">
        <f>ROUND($B309*V$274,2)</f>
        <v>0</v>
      </c>
      <c r="W309" s="17">
        <f>ROUND($B309*W$280,2)</f>
        <v>0</v>
      </c>
      <c r="X309" s="17">
        <f>ROUND($B309*X$280,2)</f>
        <v>0</v>
      </c>
      <c r="Y309" s="17">
        <f>ROUND($B309*Y$280,2)</f>
        <v>0</v>
      </c>
      <c r="Z309" s="17">
        <f>ROUND($B309*Z$280,2)</f>
        <v>0</v>
      </c>
      <c r="AA309" s="17">
        <f>ROUND($B309*AA$280,2)</f>
        <v>0</v>
      </c>
      <c r="AB309" s="19">
        <f>SUM(U304:AA304)</f>
        <v>0</v>
      </c>
      <c r="AC309" s="78" t="str">
        <f>+F309</f>
        <v>SE8</v>
      </c>
    </row>
    <row r="310" spans="1:29" x14ac:dyDescent="0.25">
      <c r="A310" s="9"/>
      <c r="B310" s="111">
        <v>-1</v>
      </c>
      <c r="C310" s="35"/>
      <c r="F310" s="12"/>
      <c r="G310" s="12"/>
      <c r="H310" s="12"/>
      <c r="I310" s="19"/>
      <c r="J310" s="12"/>
      <c r="K310" s="36">
        <f>IF(D311&gt;K$281,+K$281,D311)</f>
        <v>0</v>
      </c>
      <c r="L310" s="36">
        <f>IF(D311&gt;K310,+D311-K310,0)</f>
        <v>0</v>
      </c>
      <c r="M310" s="35">
        <f>IF(B311&gt;D311,+B311-D311,0)</f>
        <v>0</v>
      </c>
      <c r="N310" s="35"/>
      <c r="O310" s="35"/>
      <c r="P310" s="35"/>
      <c r="Q310" s="35"/>
      <c r="R310" s="12"/>
      <c r="S310" s="51">
        <v>0.1</v>
      </c>
      <c r="T310" s="12"/>
      <c r="U310" s="12"/>
      <c r="V310" s="12"/>
      <c r="W310" s="12"/>
      <c r="X310" s="12"/>
      <c r="Y310" s="12"/>
      <c r="Z310" s="12"/>
      <c r="AA310" s="12"/>
    </row>
    <row r="311" spans="1:29" ht="13" x14ac:dyDescent="0.3">
      <c r="A311" s="57" t="s">
        <v>173</v>
      </c>
      <c r="B311" s="111">
        <f>IF(AND('AES Indiana Sep 23 Bill Calc.'!$D$17="SE",'AES Indiana Sep 23 Bill Calc.'!$D$18="Yes 10%",'AES Indiana Sep 23 Bill Calc.'!$D$20="Yes 2018"),'AES Indiana Sep 23 Bill Calc.'!$D$19,-1)</f>
        <v>-1</v>
      </c>
      <c r="C311" s="111" t="b">
        <f>IF(AND('AES Indiana Sep 23 Bill Calc.'!$D$17="SE",'AES Indiana Sep 23 Bill Calc.'!$D$18="Yes 10%",'AES Indiana Sep 23 Bill Calc.'!$D$20="Yes 2018"),'AES Indiana Sep 23 Bill Calc.'!$D$23)</f>
        <v>0</v>
      </c>
      <c r="D311" s="2">
        <f>ROUND(C311*D$280,0)</f>
        <v>0</v>
      </c>
      <c r="F311" s="37" t="s">
        <v>124</v>
      </c>
      <c r="G311" s="17">
        <f>SUM(J311:M311,O311:P311,R311:AA311)</f>
        <v>54.18</v>
      </c>
      <c r="H311" s="19" t="e">
        <f>IF(ISBLANK(B311),0,+#REF!/B311)</f>
        <v>#REF!</v>
      </c>
      <c r="I311" s="19"/>
      <c r="J311" s="16">
        <f>IF(ISBLANK(B311),0,+J$280)</f>
        <v>54.18</v>
      </c>
      <c r="K311" s="16">
        <f>ROUND(K310*K$280,2)</f>
        <v>0</v>
      </c>
      <c r="L311" s="16">
        <f>ROUND(L310*L$280,2)</f>
        <v>0</v>
      </c>
      <c r="M311" s="16">
        <f>ROUND(M310*M$280,2)</f>
        <v>0</v>
      </c>
      <c r="N311" s="16">
        <f>SUM(K311:M311)</f>
        <v>0</v>
      </c>
      <c r="O311" s="16"/>
      <c r="P311" s="16"/>
      <c r="Q311" s="16"/>
      <c r="R311" s="8"/>
      <c r="S311" s="17">
        <f>ROUND($B311*S$280*S310,2)</f>
        <v>0</v>
      </c>
      <c r="T311" s="17">
        <f>ROUND($B311*T$280,2)</f>
        <v>0</v>
      </c>
      <c r="U311" s="17">
        <f>ROUND($B311*U$280,2)</f>
        <v>0</v>
      </c>
      <c r="V311" s="17">
        <f>ROUND($B311*V$274,2)</f>
        <v>0</v>
      </c>
      <c r="W311" s="17">
        <f>ROUND($B311*W$280,2)</f>
        <v>0</v>
      </c>
      <c r="X311" s="17">
        <f>ROUND($B311*X$280,2)</f>
        <v>0</v>
      </c>
      <c r="Y311" s="17">
        <f>ROUND($B311*Y$280,2)</f>
        <v>0</v>
      </c>
      <c r="Z311" s="17">
        <f>ROUND($B311*Z$280,2)</f>
        <v>0</v>
      </c>
      <c r="AA311" s="17">
        <f>ROUND($B311*AA$280,2)</f>
        <v>0</v>
      </c>
      <c r="AB311" s="19">
        <f>SUM(U306:AA306)</f>
        <v>0</v>
      </c>
      <c r="AC311" s="78" t="str">
        <f>+F311</f>
        <v>SE8</v>
      </c>
    </row>
    <row r="312" spans="1:29" x14ac:dyDescent="0.25">
      <c r="A312" s="9"/>
      <c r="B312" s="111">
        <v>-1</v>
      </c>
      <c r="C312" s="35"/>
      <c r="F312" s="12"/>
      <c r="G312" s="12"/>
      <c r="H312" s="12"/>
      <c r="I312" s="19"/>
      <c r="J312" s="12"/>
      <c r="K312" s="36">
        <f>IF(D313&gt;K$281,+K$281,D313)</f>
        <v>0</v>
      </c>
      <c r="L312" s="36">
        <f>IF(D313&gt;K312,+D313-K312,0)</f>
        <v>0</v>
      </c>
      <c r="M312" s="35">
        <f>IF(B313&gt;D313,+B313-D313,0)</f>
        <v>0</v>
      </c>
      <c r="N312" s="35"/>
      <c r="O312" s="35"/>
      <c r="P312" s="35"/>
      <c r="Q312" s="35"/>
      <c r="R312" s="12"/>
      <c r="S312" s="51">
        <v>0</v>
      </c>
      <c r="T312" s="12"/>
      <c r="U312" s="12"/>
      <c r="V312" s="12"/>
      <c r="W312" s="12"/>
      <c r="X312" s="12"/>
      <c r="Y312" s="12"/>
      <c r="Z312" s="12"/>
      <c r="AA312" s="12"/>
    </row>
    <row r="313" spans="1:29" ht="13" x14ac:dyDescent="0.3">
      <c r="A313" s="57" t="s">
        <v>172</v>
      </c>
      <c r="B313" s="111">
        <f>IF(AND('AES Indiana Sep 23 Bill Calc.'!$D$17="SE",'AES Indiana Sep 23 Bill Calc.'!$D$18="No",'AES Indiana Sep 23 Bill Calc.'!$D$20="Yes 2018"),'AES Indiana Sep 23 Bill Calc.'!$D$19,-1)</f>
        <v>-1</v>
      </c>
      <c r="C313" s="111" t="b">
        <f>IF(AND('AES Indiana Sep 23 Bill Calc.'!$D$17="SE",'AES Indiana Sep 23 Bill Calc.'!$D$18="No",'AES Indiana Sep 23 Bill Calc.'!$D$20="Yes 2018"),'AES Indiana Sep 23 Bill Calc.'!$D$23)</f>
        <v>0</v>
      </c>
      <c r="D313" s="2">
        <f>ROUND(C313*D$280,0)</f>
        <v>0</v>
      </c>
      <c r="F313" s="37" t="s">
        <v>124</v>
      </c>
      <c r="G313" s="17">
        <f>SUM(J313:M313,O313:P313,R313:AA313)</f>
        <v>54.18</v>
      </c>
      <c r="H313" s="19" t="e">
        <f>IF(ISBLANK(B313),0,+#REF!/B313)</f>
        <v>#REF!</v>
      </c>
      <c r="I313" s="19"/>
      <c r="J313" s="16">
        <f>IF(ISBLANK(B313),0,+J$280)</f>
        <v>54.18</v>
      </c>
      <c r="K313" s="16">
        <f>ROUND(K312*K$280,2)</f>
        <v>0</v>
      </c>
      <c r="L313" s="16">
        <f>ROUND(L312*L$280,2)</f>
        <v>0</v>
      </c>
      <c r="M313" s="16">
        <f>ROUND(M312*M$280,2)</f>
        <v>0</v>
      </c>
      <c r="N313" s="16">
        <f>SUM(K313:M313)</f>
        <v>0</v>
      </c>
      <c r="O313" s="16"/>
      <c r="P313" s="16"/>
      <c r="Q313" s="16"/>
      <c r="R313" s="8"/>
      <c r="S313" s="17">
        <f>ROUND($B313*S$280*S312,2)</f>
        <v>0</v>
      </c>
      <c r="T313" s="17">
        <f>ROUND($B313*T$280,2)</f>
        <v>0</v>
      </c>
      <c r="U313" s="17">
        <f>ROUND($B313*U$280,2)</f>
        <v>0</v>
      </c>
      <c r="V313" s="17">
        <f>ROUND($B313*V$274,2)</f>
        <v>0</v>
      </c>
      <c r="W313" s="17">
        <f>ROUND($B313*W$280,2)</f>
        <v>0</v>
      </c>
      <c r="X313" s="17">
        <f>ROUND($B313*X$280,2)</f>
        <v>0</v>
      </c>
      <c r="Y313" s="17">
        <f>ROUND($B313*Y$280,2)</f>
        <v>0</v>
      </c>
      <c r="Z313" s="17">
        <f>ROUND($B313*Z$280,2)</f>
        <v>0</v>
      </c>
      <c r="AA313" s="17">
        <f>ROUND($B313*AA$280,2)</f>
        <v>0</v>
      </c>
      <c r="AB313" s="19">
        <f>SUM(U308:AA308)</f>
        <v>0</v>
      </c>
      <c r="AC313" s="78" t="str">
        <f>+F313</f>
        <v>SE8</v>
      </c>
    </row>
    <row r="314" spans="1:29" x14ac:dyDescent="0.25">
      <c r="B314" s="111">
        <v>-1</v>
      </c>
      <c r="C314" s="35"/>
      <c r="F314" s="12"/>
      <c r="G314" s="12"/>
      <c r="H314" s="12"/>
      <c r="I314" s="19"/>
      <c r="J314" s="12"/>
      <c r="K314" s="36">
        <f>IF(D315&gt;K$281,+K$281,D315)</f>
        <v>0</v>
      </c>
      <c r="L314" s="36">
        <f>IF(D315&gt;K314,+D315-K314,0)</f>
        <v>0</v>
      </c>
      <c r="M314" s="35">
        <f>IF(B315&gt;D315,+B315-D315,0)</f>
        <v>0</v>
      </c>
      <c r="N314" s="35"/>
      <c r="O314" s="35"/>
      <c r="P314" s="35"/>
      <c r="Q314" s="35"/>
      <c r="R314" s="12"/>
      <c r="S314" s="51">
        <v>1</v>
      </c>
      <c r="T314" s="12"/>
      <c r="U314" s="12"/>
      <c r="V314" s="12"/>
      <c r="W314" s="12"/>
      <c r="X314" s="12"/>
      <c r="Y314" s="12"/>
      <c r="Z314" s="12"/>
      <c r="AA314" s="12"/>
    </row>
    <row r="315" spans="1:29" ht="13" x14ac:dyDescent="0.3">
      <c r="A315" s="1" t="s">
        <v>73</v>
      </c>
      <c r="B315" s="111">
        <f>IF(AND('AES Indiana Sep 23 Bill Calc.'!$D$17="SE",'AES Indiana Sep 23 Bill Calc.'!$D$18="Yes 100%",'AES Indiana Sep 23 Bill Calc.'!$D$20="Yes 2019"),'AES Indiana Sep 23 Bill Calc.'!$D$19,-1)</f>
        <v>-1</v>
      </c>
      <c r="C315" s="111" t="b">
        <f>IF(AND('AES Indiana Sep 23 Bill Calc.'!$D$17="SE",'AES Indiana Sep 23 Bill Calc.'!$D$18="Yes 100%",'AES Indiana Sep 23 Bill Calc.'!$D$20="Yes 2019"),'AES Indiana Sep 23 Bill Calc.'!$D$23)</f>
        <v>0</v>
      </c>
      <c r="D315" s="2">
        <f>ROUND(C315*D$280,0)</f>
        <v>0</v>
      </c>
      <c r="F315" s="37" t="s">
        <v>143</v>
      </c>
      <c r="G315" s="17">
        <f>SUM(J315:M315,O315:P315,R315:AA315)</f>
        <v>54.18</v>
      </c>
      <c r="H315" s="19" t="e">
        <f>IF(ISBLANK(B315),0,+#REF!/B315)</f>
        <v>#REF!</v>
      </c>
      <c r="I315" s="19"/>
      <c r="J315" s="16">
        <f>IF(ISBLANK(B315),0,+J$280)</f>
        <v>54.18</v>
      </c>
      <c r="K315" s="16">
        <f>ROUND(K314*K$280,2)</f>
        <v>0</v>
      </c>
      <c r="L315" s="16">
        <f>ROUND(L314*L$280,2)</f>
        <v>0</v>
      </c>
      <c r="M315" s="16">
        <f>ROUND(M314*M$280,2)</f>
        <v>0</v>
      </c>
      <c r="N315" s="16">
        <f>SUM(K315:M315)</f>
        <v>0</v>
      </c>
      <c r="O315" s="16"/>
      <c r="P315" s="16"/>
      <c r="Q315" s="16"/>
      <c r="R315" s="8"/>
      <c r="S315" s="17">
        <f>ROUND($B315*S$280*S314,2)</f>
        <v>0</v>
      </c>
      <c r="T315" s="17">
        <f>ROUND($B315*T$280,2)</f>
        <v>0</v>
      </c>
      <c r="U315" s="17">
        <f>ROUND($B315*U$280,2)</f>
        <v>0</v>
      </c>
      <c r="V315" s="17">
        <f>ROUND($B315*V$275,2)</f>
        <v>0</v>
      </c>
      <c r="W315" s="17">
        <f>ROUND($B315*W$280,2)</f>
        <v>0</v>
      </c>
      <c r="X315" s="17">
        <f>ROUND($B315*X$280,2)</f>
        <v>0</v>
      </c>
      <c r="Y315" s="17">
        <f>ROUND($B315*Y$280,2)</f>
        <v>0</v>
      </c>
      <c r="Z315" s="17">
        <f>ROUND($B315*Z$280,2)</f>
        <v>0</v>
      </c>
      <c r="AA315" s="17">
        <f>ROUND($B315*AA$280,2)</f>
        <v>0</v>
      </c>
      <c r="AB315" s="19">
        <f>SUM(U310:AA310)</f>
        <v>0</v>
      </c>
      <c r="AC315" s="78" t="str">
        <f>+F315</f>
        <v>SE9</v>
      </c>
    </row>
    <row r="316" spans="1:29" x14ac:dyDescent="0.25">
      <c r="A316" s="9"/>
      <c r="B316" s="111">
        <v>-1</v>
      </c>
      <c r="C316" s="35"/>
      <c r="F316" s="12"/>
      <c r="G316" s="12"/>
      <c r="H316" s="12"/>
      <c r="I316" s="19"/>
      <c r="J316" s="12"/>
      <c r="K316" s="36">
        <f>IF(D317&gt;K$281,+K$281,D317)</f>
        <v>0</v>
      </c>
      <c r="L316" s="36">
        <f>IF(D317&gt;K316,+D317-K316,0)</f>
        <v>0</v>
      </c>
      <c r="M316" s="35">
        <f>IF(B317&gt;D317,+B317-D317,0)</f>
        <v>0</v>
      </c>
      <c r="N316" s="35"/>
      <c r="O316" s="35"/>
      <c r="P316" s="35"/>
      <c r="Q316" s="35"/>
      <c r="R316" s="12"/>
      <c r="S316" s="51">
        <v>0.5</v>
      </c>
      <c r="T316" s="12"/>
      <c r="U316" s="12"/>
      <c r="V316" s="12"/>
      <c r="W316" s="12"/>
      <c r="X316" s="12"/>
      <c r="Y316" s="12"/>
      <c r="Z316" s="12"/>
      <c r="AA316" s="12"/>
    </row>
    <row r="317" spans="1:29" ht="13" x14ac:dyDescent="0.3">
      <c r="A317" s="57" t="s">
        <v>171</v>
      </c>
      <c r="B317" s="111">
        <f>IF(AND('AES Indiana Sep 23 Bill Calc.'!$D$17="SE",'AES Indiana Sep 23 Bill Calc.'!$D$18="Yes 50%",'AES Indiana Sep 23 Bill Calc.'!$D$20="Yes 2019"),'AES Indiana Sep 23 Bill Calc.'!$D$19,-1)</f>
        <v>-1</v>
      </c>
      <c r="C317" s="111" t="b">
        <f>IF(AND('AES Indiana Sep 23 Bill Calc.'!$D$17="SE",'AES Indiana Sep 23 Bill Calc.'!$D$18="Yes 50%",'AES Indiana Sep 23 Bill Calc.'!$D$20="Yes 2019"),'AES Indiana Sep 23 Bill Calc.'!$D$23)</f>
        <v>0</v>
      </c>
      <c r="D317" s="2">
        <f>ROUND(C317*D$280,0)</f>
        <v>0</v>
      </c>
      <c r="F317" s="37" t="s">
        <v>143</v>
      </c>
      <c r="G317" s="17">
        <f>SUM(J317:M317,O317:P317,R317:AA317)</f>
        <v>54.18</v>
      </c>
      <c r="H317" s="19" t="e">
        <f>IF(ISBLANK(B317),0,+#REF!/B317)</f>
        <v>#REF!</v>
      </c>
      <c r="I317" s="19"/>
      <c r="J317" s="16">
        <f>IF(ISBLANK(B317),0,+J$280)</f>
        <v>54.18</v>
      </c>
      <c r="K317" s="16">
        <f>ROUND(K316*K$280,2)</f>
        <v>0</v>
      </c>
      <c r="L317" s="16">
        <f>ROUND(L316*L$280,2)</f>
        <v>0</v>
      </c>
      <c r="M317" s="16">
        <f>ROUND(M316*M$280,2)</f>
        <v>0</v>
      </c>
      <c r="N317" s="16">
        <f>SUM(K317:M317)</f>
        <v>0</v>
      </c>
      <c r="O317" s="16"/>
      <c r="P317" s="16"/>
      <c r="Q317" s="16"/>
      <c r="R317" s="8"/>
      <c r="S317" s="17">
        <f>ROUND($B317*S$280*S316,2)</f>
        <v>0</v>
      </c>
      <c r="T317" s="17">
        <f>ROUND($B317*T$280,2)</f>
        <v>0</v>
      </c>
      <c r="U317" s="17">
        <f>ROUND($B317*U$280,2)</f>
        <v>0</v>
      </c>
      <c r="V317" s="17">
        <f>ROUND($B317*V$275,2)</f>
        <v>0</v>
      </c>
      <c r="W317" s="17">
        <f>ROUND($B317*W$280,2)</f>
        <v>0</v>
      </c>
      <c r="X317" s="17">
        <f>ROUND($B317*X$280,2)</f>
        <v>0</v>
      </c>
      <c r="Y317" s="17">
        <f>ROUND($B317*Y$280,2)</f>
        <v>0</v>
      </c>
      <c r="Z317" s="17">
        <f>ROUND($B317*Z$280,2)</f>
        <v>0</v>
      </c>
      <c r="AA317" s="17">
        <f>ROUND($B317*AA$280,2)</f>
        <v>0</v>
      </c>
      <c r="AB317" s="19">
        <f>SUM(U312:AA312)</f>
        <v>0</v>
      </c>
      <c r="AC317" s="78" t="str">
        <f>+F317</f>
        <v>SE9</v>
      </c>
    </row>
    <row r="318" spans="1:29" x14ac:dyDescent="0.25">
      <c r="A318" s="9"/>
      <c r="B318" s="111">
        <v>-1</v>
      </c>
      <c r="C318" s="35"/>
      <c r="F318" s="12"/>
      <c r="G318" s="12"/>
      <c r="H318" s="12"/>
      <c r="I318" s="19"/>
      <c r="J318" s="12"/>
      <c r="K318" s="36">
        <f>IF(D319&gt;K$281,+K$281,D319)</f>
        <v>0</v>
      </c>
      <c r="L318" s="36">
        <f>IF(D319&gt;K318,+D319-K318,0)</f>
        <v>0</v>
      </c>
      <c r="M318" s="35">
        <f>IF(B319&gt;D319,+B319-D319,0)</f>
        <v>0</v>
      </c>
      <c r="N318" s="35"/>
      <c r="O318" s="35"/>
      <c r="P318" s="35"/>
      <c r="Q318" s="35"/>
      <c r="R318" s="12"/>
      <c r="S318" s="51">
        <v>0.25</v>
      </c>
      <c r="T318" s="12"/>
      <c r="U318" s="12"/>
      <c r="V318" s="12"/>
      <c r="W318" s="12"/>
      <c r="X318" s="12"/>
      <c r="Y318" s="12"/>
      <c r="Z318" s="12"/>
      <c r="AA318" s="12"/>
    </row>
    <row r="319" spans="1:29" ht="13" x14ac:dyDescent="0.3">
      <c r="A319" s="57" t="s">
        <v>158</v>
      </c>
      <c r="B319" s="111">
        <f>IF(AND('AES Indiana Sep 23 Bill Calc.'!$D$17="SE",'AES Indiana Sep 23 Bill Calc.'!$D$18="Yes 25%",'AES Indiana Sep 23 Bill Calc.'!$D$20="Yes 2019"),'AES Indiana Sep 23 Bill Calc.'!$D$19,-1)</f>
        <v>-1</v>
      </c>
      <c r="C319" s="111" t="b">
        <f>IF(AND('AES Indiana Sep 23 Bill Calc.'!$D$17="SE",'AES Indiana Sep 23 Bill Calc.'!$D$18="Yes 25%",'AES Indiana Sep 23 Bill Calc.'!$D$20="Yes 2019"),'AES Indiana Sep 23 Bill Calc.'!$D$23)</f>
        <v>0</v>
      </c>
      <c r="D319" s="2">
        <f>ROUND(C319*D$280,0)</f>
        <v>0</v>
      </c>
      <c r="F319" s="37" t="s">
        <v>143</v>
      </c>
      <c r="G319" s="17">
        <f>SUM(J319:M319,O319:P319,R319:AA319)</f>
        <v>54.18</v>
      </c>
      <c r="H319" s="19" t="e">
        <f>IF(ISBLANK(B319),0,+#REF!/B319)</f>
        <v>#REF!</v>
      </c>
      <c r="I319" s="19"/>
      <c r="J319" s="16">
        <f>IF(ISBLANK(B319),0,+J$280)</f>
        <v>54.18</v>
      </c>
      <c r="K319" s="16">
        <f>ROUND(K318*K$280,2)</f>
        <v>0</v>
      </c>
      <c r="L319" s="16">
        <f>ROUND(L318*L$280,2)</f>
        <v>0</v>
      </c>
      <c r="M319" s="16">
        <f>ROUND(M318*M$280,2)</f>
        <v>0</v>
      </c>
      <c r="N319" s="16">
        <f>SUM(K319:M319)</f>
        <v>0</v>
      </c>
      <c r="O319" s="16"/>
      <c r="P319" s="16"/>
      <c r="Q319" s="16"/>
      <c r="R319" s="8"/>
      <c r="S319" s="17">
        <f>ROUND($B319*S$280*S318,2)</f>
        <v>0</v>
      </c>
      <c r="T319" s="17">
        <f>ROUND($B319*T$280,2)</f>
        <v>0</v>
      </c>
      <c r="U319" s="17">
        <f>ROUND($B319*U$280,2)</f>
        <v>0</v>
      </c>
      <c r="V319" s="17">
        <f>ROUND($B319*V$275,2)</f>
        <v>0</v>
      </c>
      <c r="W319" s="17">
        <f>ROUND($B319*W$280,2)</f>
        <v>0</v>
      </c>
      <c r="X319" s="17">
        <f>ROUND($B319*X$280,2)</f>
        <v>0</v>
      </c>
      <c r="Y319" s="17">
        <f>ROUND($B319*Y$280,2)</f>
        <v>0</v>
      </c>
      <c r="Z319" s="17">
        <f>ROUND($B319*Z$280,2)</f>
        <v>0</v>
      </c>
      <c r="AA319" s="17">
        <f>ROUND($B319*AA$280,2)</f>
        <v>0</v>
      </c>
      <c r="AB319" s="19">
        <f>SUM(U314:AA314)</f>
        <v>0</v>
      </c>
      <c r="AC319" s="78" t="str">
        <f>+F319</f>
        <v>SE9</v>
      </c>
    </row>
    <row r="320" spans="1:29" x14ac:dyDescent="0.25">
      <c r="A320" s="9"/>
      <c r="B320" s="111">
        <v>-1</v>
      </c>
      <c r="C320" s="35"/>
      <c r="F320" s="12"/>
      <c r="G320" s="12"/>
      <c r="H320" s="12"/>
      <c r="I320" s="19"/>
      <c r="J320" s="12"/>
      <c r="K320" s="36">
        <f>IF(D321&gt;K$281,+K$281,D321)</f>
        <v>0</v>
      </c>
      <c r="L320" s="36">
        <f>IF(D321&gt;K320,+D321-K320,0)</f>
        <v>0</v>
      </c>
      <c r="M320" s="35">
        <f>IF(B321&gt;D321,+B321-D321,0)</f>
        <v>0</v>
      </c>
      <c r="N320" s="35"/>
      <c r="O320" s="35"/>
      <c r="P320" s="35"/>
      <c r="Q320" s="35"/>
      <c r="R320" s="12"/>
      <c r="S320" s="51">
        <v>0.1</v>
      </c>
      <c r="T320" s="12"/>
      <c r="U320" s="12"/>
      <c r="V320" s="12"/>
      <c r="W320" s="12"/>
      <c r="X320" s="12"/>
      <c r="Y320" s="12"/>
      <c r="Z320" s="12"/>
      <c r="AA320" s="12"/>
    </row>
    <row r="321" spans="1:29" ht="13" x14ac:dyDescent="0.3">
      <c r="A321" s="57" t="s">
        <v>173</v>
      </c>
      <c r="B321" s="111">
        <f>IF(AND('AES Indiana Sep 23 Bill Calc.'!$D$17="SE",'AES Indiana Sep 23 Bill Calc.'!$D$18="Yes 10%",'AES Indiana Sep 23 Bill Calc.'!$D$20="Yes 2019"),'AES Indiana Sep 23 Bill Calc.'!$D$19,-1)</f>
        <v>-1</v>
      </c>
      <c r="C321" s="111" t="b">
        <f>IF(AND('AES Indiana Sep 23 Bill Calc.'!$D$17="SE",'AES Indiana Sep 23 Bill Calc.'!$D$18="Yes 10%",'AES Indiana Sep 23 Bill Calc.'!$D$20="Yes 2019"),'AES Indiana Sep 23 Bill Calc.'!$D$23)</f>
        <v>0</v>
      </c>
      <c r="D321" s="2">
        <f>ROUND(C321*D$280,0)</f>
        <v>0</v>
      </c>
      <c r="F321" s="37" t="s">
        <v>143</v>
      </c>
      <c r="G321" s="17">
        <f>SUM(J321:M321,O321:P321,R321:AA321)</f>
        <v>54.18</v>
      </c>
      <c r="H321" s="19" t="e">
        <f>IF(ISBLANK(B321),0,+#REF!/B321)</f>
        <v>#REF!</v>
      </c>
      <c r="I321" s="19"/>
      <c r="J321" s="16">
        <f>IF(ISBLANK(B321),0,+J$280)</f>
        <v>54.18</v>
      </c>
      <c r="K321" s="16">
        <f>ROUND(K320*K$280,2)</f>
        <v>0</v>
      </c>
      <c r="L321" s="16">
        <f>ROUND(L320*L$280,2)</f>
        <v>0</v>
      </c>
      <c r="M321" s="16">
        <f>ROUND(M320*M$280,2)</f>
        <v>0</v>
      </c>
      <c r="N321" s="16">
        <f>SUM(K321:M321)</f>
        <v>0</v>
      </c>
      <c r="O321" s="16"/>
      <c r="P321" s="16"/>
      <c r="Q321" s="16"/>
      <c r="R321" s="8"/>
      <c r="S321" s="17">
        <f>ROUND($B321*S$280*S320,2)</f>
        <v>0</v>
      </c>
      <c r="T321" s="17">
        <f>ROUND($B321*T$280,2)</f>
        <v>0</v>
      </c>
      <c r="U321" s="17">
        <f>ROUND($B321*U$280,2)</f>
        <v>0</v>
      </c>
      <c r="V321" s="17">
        <f>ROUND($B321*V$275,2)</f>
        <v>0</v>
      </c>
      <c r="W321" s="17">
        <f>ROUND($B321*W$280,2)</f>
        <v>0</v>
      </c>
      <c r="X321" s="17">
        <f>ROUND($B321*X$280,2)</f>
        <v>0</v>
      </c>
      <c r="Y321" s="17">
        <f>ROUND($B321*Y$280,2)</f>
        <v>0</v>
      </c>
      <c r="Z321" s="17">
        <f>ROUND($B321*Z$280,2)</f>
        <v>0</v>
      </c>
      <c r="AA321" s="17">
        <f>ROUND($B321*AA$280,2)</f>
        <v>0</v>
      </c>
      <c r="AB321" s="19">
        <f>SUM(U316:AA316)</f>
        <v>0</v>
      </c>
      <c r="AC321" s="78" t="str">
        <f>+F321</f>
        <v>SE9</v>
      </c>
    </row>
    <row r="322" spans="1:29" x14ac:dyDescent="0.25">
      <c r="A322" s="9"/>
      <c r="B322" s="111">
        <v>-1</v>
      </c>
      <c r="C322" s="35"/>
      <c r="F322" s="12"/>
      <c r="G322" s="12"/>
      <c r="H322" s="12"/>
      <c r="I322" s="19"/>
      <c r="J322" s="12"/>
      <c r="K322" s="36">
        <f>IF(D323&gt;K$281,+K$281,D323)</f>
        <v>0</v>
      </c>
      <c r="L322" s="36">
        <f>IF(D323&gt;K322,+D323-K322,0)</f>
        <v>0</v>
      </c>
      <c r="M322" s="35">
        <f>IF(B323&gt;D323,+B323-D323,0)</f>
        <v>0</v>
      </c>
      <c r="N322" s="35"/>
      <c r="O322" s="35"/>
      <c r="P322" s="35"/>
      <c r="Q322" s="35"/>
      <c r="R322" s="12"/>
      <c r="S322" s="51">
        <v>0</v>
      </c>
      <c r="T322" s="12"/>
      <c r="U322" s="12"/>
      <c r="V322" s="12"/>
      <c r="W322" s="12"/>
      <c r="X322" s="12"/>
      <c r="Y322" s="12"/>
      <c r="Z322" s="12"/>
      <c r="AA322" s="12"/>
    </row>
    <row r="323" spans="1:29" ht="13" x14ac:dyDescent="0.3">
      <c r="A323" s="57" t="s">
        <v>172</v>
      </c>
      <c r="B323" s="111">
        <f>IF(AND('AES Indiana Sep 23 Bill Calc.'!$D$17="SE",'AES Indiana Sep 23 Bill Calc.'!$D$18="No",'AES Indiana Sep 23 Bill Calc.'!$D$20="Yes 2019"),'AES Indiana Sep 23 Bill Calc.'!$D$19,-1)</f>
        <v>-1</v>
      </c>
      <c r="C323" s="111" t="b">
        <f>IF(AND('AES Indiana Sep 23 Bill Calc.'!$D$17="SE",'AES Indiana Sep 23 Bill Calc.'!$D$18="No",'AES Indiana Sep 23 Bill Calc.'!$D$20="Yes 2019"),'AES Indiana Sep 23 Bill Calc.'!$D$23)</f>
        <v>0</v>
      </c>
      <c r="D323" s="2">
        <f>ROUND(C323*D$280,0)</f>
        <v>0</v>
      </c>
      <c r="F323" s="37" t="s">
        <v>143</v>
      </c>
      <c r="G323" s="17">
        <f>SUM(J323:M323,O323:P323,R323:AA323)</f>
        <v>54.18</v>
      </c>
      <c r="H323" s="19" t="e">
        <f>IF(ISBLANK(B323),0,+#REF!/B323)</f>
        <v>#REF!</v>
      </c>
      <c r="I323" s="19"/>
      <c r="J323" s="16">
        <f>IF(ISBLANK(B323),0,+J$280)</f>
        <v>54.18</v>
      </c>
      <c r="K323" s="16">
        <f>ROUND(K322*K$280,2)</f>
        <v>0</v>
      </c>
      <c r="L323" s="16">
        <f>ROUND(L322*L$280,2)</f>
        <v>0</v>
      </c>
      <c r="M323" s="16">
        <f>ROUND(M322*M$280,2)</f>
        <v>0</v>
      </c>
      <c r="N323" s="16">
        <f>SUM(K323:M323)</f>
        <v>0</v>
      </c>
      <c r="O323" s="16"/>
      <c r="P323" s="16"/>
      <c r="Q323" s="16"/>
      <c r="R323" s="8"/>
      <c r="S323" s="17">
        <f>ROUND($B323*S$280*S322,2)</f>
        <v>0</v>
      </c>
      <c r="T323" s="17">
        <f>ROUND($B323*T$280,2)</f>
        <v>0</v>
      </c>
      <c r="U323" s="17">
        <f>ROUND($B323*U$280,2)</f>
        <v>0</v>
      </c>
      <c r="V323" s="17">
        <f>ROUND($B323*V$275,2)</f>
        <v>0</v>
      </c>
      <c r="W323" s="17">
        <f>ROUND($B323*W$280,2)</f>
        <v>0</v>
      </c>
      <c r="X323" s="17">
        <f>ROUND($B323*X$280,2)</f>
        <v>0</v>
      </c>
      <c r="Y323" s="17">
        <f>ROUND($B323*Y$280,2)</f>
        <v>0</v>
      </c>
      <c r="Z323" s="17">
        <f>ROUND($B323*Z$280,2)</f>
        <v>0</v>
      </c>
      <c r="AA323" s="17">
        <f>ROUND($B323*AA$280,2)</f>
        <v>0</v>
      </c>
      <c r="AB323" s="19">
        <f>SUM(U318:AA318)</f>
        <v>0</v>
      </c>
      <c r="AC323" s="78" t="str">
        <f>+F323</f>
        <v>SE9</v>
      </c>
    </row>
    <row r="324" spans="1:29" x14ac:dyDescent="0.25">
      <c r="B324" s="111">
        <v>-1</v>
      </c>
      <c r="C324" s="35"/>
      <c r="F324" s="12"/>
      <c r="G324" s="12"/>
      <c r="H324" s="12"/>
      <c r="I324" s="19"/>
      <c r="J324" s="12"/>
      <c r="K324" s="36">
        <f>IF(D325&gt;K$281,+K$281,D325)</f>
        <v>0</v>
      </c>
      <c r="L324" s="36">
        <f>IF(D325&gt;K324,+D325-K324,0)</f>
        <v>0</v>
      </c>
      <c r="M324" s="35">
        <f>IF(B325&gt;D325,+B325-D325,0)</f>
        <v>0</v>
      </c>
      <c r="N324" s="35"/>
      <c r="O324" s="35"/>
      <c r="P324" s="35"/>
      <c r="Q324" s="35"/>
      <c r="R324" s="12"/>
      <c r="S324" s="51">
        <v>1</v>
      </c>
      <c r="T324" s="12"/>
      <c r="U324" s="12"/>
      <c r="V324" s="12"/>
      <c r="W324" s="12"/>
      <c r="X324" s="12"/>
      <c r="Y324" s="12"/>
      <c r="Z324" s="12"/>
      <c r="AA324" s="12"/>
    </row>
    <row r="325" spans="1:29" ht="13" x14ac:dyDescent="0.3">
      <c r="A325" s="1" t="s">
        <v>73</v>
      </c>
      <c r="B325" s="111">
        <f>IF(AND('AES Indiana Sep 23 Bill Calc.'!$D$17="SE",'AES Indiana Sep 23 Bill Calc.'!$D$18="Yes 100%",'AES Indiana Sep 23 Bill Calc.'!$D$20="Yes 2020"),'AES Indiana Sep 23 Bill Calc.'!$D$19,-1)</f>
        <v>-1</v>
      </c>
      <c r="C325" s="111" t="b">
        <f>IF(AND('AES Indiana Sep 23 Bill Calc.'!$D$17="SE",'AES Indiana Sep 23 Bill Calc.'!$D$18="Yes 100%",'AES Indiana Sep 23 Bill Calc.'!$D$20="Yes 2020"),'AES Indiana Sep 23 Bill Calc.'!$D$23)</f>
        <v>0</v>
      </c>
      <c r="D325" s="2">
        <f>ROUND(C325*D$280,0)</f>
        <v>0</v>
      </c>
      <c r="F325" s="37" t="s">
        <v>144</v>
      </c>
      <c r="G325" s="17">
        <f>SUM(J325:M325,O325:P325,R325:AA325)</f>
        <v>54.18</v>
      </c>
      <c r="H325" s="19" t="e">
        <f>IF(ISBLANK(B325),0,+#REF!/B325)</f>
        <v>#REF!</v>
      </c>
      <c r="I325" s="19"/>
      <c r="J325" s="16">
        <f>IF(ISBLANK(B325),0,+J$280)</f>
        <v>54.18</v>
      </c>
      <c r="K325" s="16">
        <f>ROUND(K324*K$280,2)</f>
        <v>0</v>
      </c>
      <c r="L325" s="16">
        <f>ROUND(L324*L$280,2)</f>
        <v>0</v>
      </c>
      <c r="M325" s="16">
        <f>ROUND(M324*M$280,2)</f>
        <v>0</v>
      </c>
      <c r="N325" s="16">
        <f>SUM(K325:M325)</f>
        <v>0</v>
      </c>
      <c r="O325" s="16"/>
      <c r="P325" s="16"/>
      <c r="Q325" s="16"/>
      <c r="R325" s="8"/>
      <c r="S325" s="17">
        <f>ROUND($B325*S$280*S324,2)</f>
        <v>0</v>
      </c>
      <c r="T325" s="17">
        <f>ROUND($B325*T$280,2)</f>
        <v>0</v>
      </c>
      <c r="U325" s="17">
        <f>ROUND($B325*U$280,2)</f>
        <v>0</v>
      </c>
      <c r="V325" s="17">
        <f>ROUND($B325*V$276,2)</f>
        <v>0</v>
      </c>
      <c r="W325" s="17">
        <f>ROUND($B325*W$280,2)</f>
        <v>0</v>
      </c>
      <c r="X325" s="17">
        <f>ROUND($B325*X$280,2)</f>
        <v>0</v>
      </c>
      <c r="Y325" s="17">
        <f>ROUND($B325*Y$280,2)</f>
        <v>0</v>
      </c>
      <c r="Z325" s="17">
        <f>ROUND($B325*Z$280,2)</f>
        <v>0</v>
      </c>
      <c r="AA325" s="17">
        <f>ROUND($B325*AA$280,2)</f>
        <v>0</v>
      </c>
      <c r="AB325" s="19">
        <f>SUM(U320:AA320)</f>
        <v>0</v>
      </c>
      <c r="AC325" s="78" t="str">
        <f>+F325</f>
        <v>SE0</v>
      </c>
    </row>
    <row r="326" spans="1:29" x14ac:dyDescent="0.25">
      <c r="A326" s="9"/>
      <c r="B326" s="111">
        <v>-1</v>
      </c>
      <c r="C326" s="35"/>
      <c r="F326" s="12"/>
      <c r="G326" s="12"/>
      <c r="H326" s="12"/>
      <c r="I326" s="19"/>
      <c r="J326" s="12"/>
      <c r="K326" s="36">
        <f>IF(D327&gt;K$281,+K$281,D327)</f>
        <v>0</v>
      </c>
      <c r="L326" s="36">
        <f>IF(D327&gt;K326,+D327-K326,0)</f>
        <v>0</v>
      </c>
      <c r="M326" s="35">
        <f>IF(B327&gt;D327,+B327-D327,0)</f>
        <v>0</v>
      </c>
      <c r="N326" s="35"/>
      <c r="O326" s="35"/>
      <c r="P326" s="35"/>
      <c r="Q326" s="35"/>
      <c r="R326" s="12"/>
      <c r="S326" s="51">
        <v>0.5</v>
      </c>
      <c r="T326" s="12"/>
      <c r="U326" s="12"/>
      <c r="V326" s="12"/>
      <c r="W326" s="12"/>
      <c r="X326" s="12"/>
      <c r="Y326" s="12"/>
      <c r="Z326" s="12"/>
      <c r="AA326" s="12"/>
    </row>
    <row r="327" spans="1:29" ht="13" x14ac:dyDescent="0.3">
      <c r="A327" s="57" t="s">
        <v>171</v>
      </c>
      <c r="B327" s="111">
        <f>IF(AND('AES Indiana Sep 23 Bill Calc.'!$D$17="SE",'AES Indiana Sep 23 Bill Calc.'!$D$18="Yes 50%",'AES Indiana Sep 23 Bill Calc.'!$D$20="Yes 2020"),'AES Indiana Sep 23 Bill Calc.'!$D$19,-1)</f>
        <v>-1</v>
      </c>
      <c r="C327" s="111" t="b">
        <f>IF(AND('AES Indiana Sep 23 Bill Calc.'!$D$17="SE",'AES Indiana Sep 23 Bill Calc.'!$D$18="Yes 50%",'AES Indiana Sep 23 Bill Calc.'!$D$20="Yes 2020"),'AES Indiana Sep 23 Bill Calc.'!$D$23)</f>
        <v>0</v>
      </c>
      <c r="D327" s="2">
        <f>ROUND(C327*D$280,0)</f>
        <v>0</v>
      </c>
      <c r="F327" s="37" t="s">
        <v>144</v>
      </c>
      <c r="G327" s="17">
        <f>SUM(J327:M327,O327:P327,R327:AA327)</f>
        <v>54.18</v>
      </c>
      <c r="H327" s="19" t="e">
        <f>IF(ISBLANK(B327),0,+#REF!/B327)</f>
        <v>#REF!</v>
      </c>
      <c r="I327" s="19"/>
      <c r="J327" s="16">
        <f>IF(ISBLANK(B327),0,+J$280)</f>
        <v>54.18</v>
      </c>
      <c r="K327" s="16">
        <f>ROUND(K326*K$280,2)</f>
        <v>0</v>
      </c>
      <c r="L327" s="16">
        <f>ROUND(L326*L$280,2)</f>
        <v>0</v>
      </c>
      <c r="M327" s="16">
        <f>ROUND(M326*M$280,2)</f>
        <v>0</v>
      </c>
      <c r="N327" s="16">
        <f>SUM(K327:M327)</f>
        <v>0</v>
      </c>
      <c r="O327" s="16"/>
      <c r="P327" s="16"/>
      <c r="Q327" s="16"/>
      <c r="R327" s="8"/>
      <c r="S327" s="17">
        <f>ROUND($B327*S$280*S326,2)</f>
        <v>0</v>
      </c>
      <c r="T327" s="17">
        <f>ROUND($B327*T$280,2)</f>
        <v>0</v>
      </c>
      <c r="U327" s="17">
        <f>ROUND($B327*U$280,2)</f>
        <v>0</v>
      </c>
      <c r="V327" s="17">
        <f>ROUND($B327*V$276,2)</f>
        <v>0</v>
      </c>
      <c r="W327" s="17">
        <f>ROUND($B327*W$280,2)</f>
        <v>0</v>
      </c>
      <c r="X327" s="17">
        <f>ROUND($B327*X$280,2)</f>
        <v>0</v>
      </c>
      <c r="Y327" s="17">
        <f>ROUND($B327*Y$280,2)</f>
        <v>0</v>
      </c>
      <c r="Z327" s="17">
        <f>ROUND($B327*Z$280,2)</f>
        <v>0</v>
      </c>
      <c r="AA327" s="17">
        <f>ROUND($B327*AA$280,2)</f>
        <v>0</v>
      </c>
      <c r="AB327" s="19">
        <f>SUM(U322:AA322)</f>
        <v>0</v>
      </c>
      <c r="AC327" s="78" t="str">
        <f>+F327</f>
        <v>SE0</v>
      </c>
    </row>
    <row r="328" spans="1:29" x14ac:dyDescent="0.25">
      <c r="A328" s="9"/>
      <c r="B328" s="111">
        <v>-1</v>
      </c>
      <c r="C328" s="35"/>
      <c r="F328" s="12"/>
      <c r="G328" s="12"/>
      <c r="H328" s="12"/>
      <c r="I328" s="19"/>
      <c r="J328" s="12"/>
      <c r="K328" s="36">
        <f>IF(D329&gt;K$281,+K$281,D329)</f>
        <v>0</v>
      </c>
      <c r="L328" s="36">
        <f>IF(D329&gt;K328,+D329-K328,0)</f>
        <v>0</v>
      </c>
      <c r="M328" s="35">
        <f>IF(B329&gt;D329,+B329-D329,0)</f>
        <v>0</v>
      </c>
      <c r="N328" s="35"/>
      <c r="O328" s="35"/>
      <c r="P328" s="35"/>
      <c r="Q328" s="35"/>
      <c r="R328" s="12"/>
      <c r="S328" s="51">
        <v>0.25</v>
      </c>
      <c r="T328" s="12"/>
      <c r="U328" s="12"/>
      <c r="V328" s="12"/>
      <c r="W328" s="12"/>
      <c r="X328" s="12"/>
      <c r="Y328" s="12"/>
      <c r="Z328" s="12"/>
      <c r="AA328" s="12"/>
    </row>
    <row r="329" spans="1:29" ht="13" x14ac:dyDescent="0.3">
      <c r="A329" s="57" t="s">
        <v>158</v>
      </c>
      <c r="B329" s="111">
        <f>IF(AND('AES Indiana Sep 23 Bill Calc.'!$D$17="SE",'AES Indiana Sep 23 Bill Calc.'!$D$18="Yes 25%",'AES Indiana Sep 23 Bill Calc.'!$D$20="Yes 2020"),'AES Indiana Sep 23 Bill Calc.'!$D$19,-1)</f>
        <v>-1</v>
      </c>
      <c r="C329" s="111" t="b">
        <f>IF(AND('AES Indiana Sep 23 Bill Calc.'!$D$17="SE",'AES Indiana Sep 23 Bill Calc.'!$D$18="Yes 25%",'AES Indiana Sep 23 Bill Calc.'!$D$20="Yes 2020"),'AES Indiana Sep 23 Bill Calc.'!$D$23)</f>
        <v>0</v>
      </c>
      <c r="D329" s="2">
        <f>ROUND(C329*D$280,0)</f>
        <v>0</v>
      </c>
      <c r="F329" s="37" t="s">
        <v>144</v>
      </c>
      <c r="G329" s="17">
        <f>SUM(J329:M329,O329:P329,R329:AA329)</f>
        <v>54.18</v>
      </c>
      <c r="H329" s="19" t="e">
        <f>IF(ISBLANK(B329),0,+#REF!/B329)</f>
        <v>#REF!</v>
      </c>
      <c r="I329" s="19"/>
      <c r="J329" s="16">
        <f>IF(ISBLANK(B329),0,+J$280)</f>
        <v>54.18</v>
      </c>
      <c r="K329" s="16">
        <f>ROUND(K328*K$280,2)</f>
        <v>0</v>
      </c>
      <c r="L329" s="16">
        <f>ROUND(L328*L$280,2)</f>
        <v>0</v>
      </c>
      <c r="M329" s="16">
        <f>ROUND(M328*M$280,2)</f>
        <v>0</v>
      </c>
      <c r="N329" s="16">
        <f>SUM(K329:M329)</f>
        <v>0</v>
      </c>
      <c r="O329" s="16"/>
      <c r="P329" s="16"/>
      <c r="Q329" s="16"/>
      <c r="R329" s="8"/>
      <c r="S329" s="17">
        <f>ROUND($B329*S$280*S328,2)</f>
        <v>0</v>
      </c>
      <c r="T329" s="17">
        <f>ROUND($B329*T$280,2)</f>
        <v>0</v>
      </c>
      <c r="U329" s="17">
        <f>ROUND($B329*U$280,2)</f>
        <v>0</v>
      </c>
      <c r="V329" s="17">
        <f>ROUND($B329*V$276,2)</f>
        <v>0</v>
      </c>
      <c r="W329" s="17">
        <f>ROUND($B329*W$280,2)</f>
        <v>0</v>
      </c>
      <c r="X329" s="17">
        <f>ROUND($B329*X$280,2)</f>
        <v>0</v>
      </c>
      <c r="Y329" s="17">
        <f>ROUND($B329*Y$280,2)</f>
        <v>0</v>
      </c>
      <c r="Z329" s="17">
        <f>ROUND($B329*Z$280,2)</f>
        <v>0</v>
      </c>
      <c r="AA329" s="17">
        <f>ROUND($B329*AA$280,2)</f>
        <v>0</v>
      </c>
      <c r="AB329" s="19">
        <f>SUM(U324:AA324)</f>
        <v>0</v>
      </c>
      <c r="AC329" s="78" t="str">
        <f>+F329</f>
        <v>SE0</v>
      </c>
    </row>
    <row r="330" spans="1:29" x14ac:dyDescent="0.25">
      <c r="A330" s="9"/>
      <c r="B330" s="111">
        <v>-1</v>
      </c>
      <c r="C330" s="35"/>
      <c r="F330" s="12"/>
      <c r="G330" s="12"/>
      <c r="H330" s="12"/>
      <c r="I330" s="19"/>
      <c r="J330" s="12"/>
      <c r="K330" s="36">
        <f>IF(D331&gt;K$281,+K$281,D331)</f>
        <v>0</v>
      </c>
      <c r="L330" s="36">
        <f>IF(D331&gt;K330,+D331-K330,0)</f>
        <v>0</v>
      </c>
      <c r="M330" s="35">
        <f>IF(B331&gt;D331,+B331-D331,0)</f>
        <v>0</v>
      </c>
      <c r="N330" s="35"/>
      <c r="O330" s="35"/>
      <c r="P330" s="35"/>
      <c r="Q330" s="35"/>
      <c r="R330" s="12"/>
      <c r="S330" s="51">
        <v>0.1</v>
      </c>
      <c r="T330" s="12"/>
      <c r="U330" s="12"/>
      <c r="V330" s="12"/>
      <c r="W330" s="12"/>
      <c r="X330" s="12"/>
      <c r="Y330" s="12"/>
      <c r="Z330" s="12"/>
      <c r="AA330" s="12"/>
    </row>
    <row r="331" spans="1:29" ht="13" x14ac:dyDescent="0.3">
      <c r="A331" s="57" t="s">
        <v>173</v>
      </c>
      <c r="B331" s="111">
        <f>IF(AND('AES Indiana Sep 23 Bill Calc.'!$D$17="SE",'AES Indiana Sep 23 Bill Calc.'!$D$18="Yes 10%",'AES Indiana Sep 23 Bill Calc.'!$D$20="Yes 2020"),'AES Indiana Sep 23 Bill Calc.'!$D$19,-1)</f>
        <v>-1</v>
      </c>
      <c r="C331" s="111" t="b">
        <f>IF(AND('AES Indiana Sep 23 Bill Calc.'!$D$17="SE",'AES Indiana Sep 23 Bill Calc.'!$D$18="Yes 10%",'AES Indiana Sep 23 Bill Calc.'!$D$20="Yes 2020"),'AES Indiana Sep 23 Bill Calc.'!$D$23)</f>
        <v>0</v>
      </c>
      <c r="D331" s="2">
        <f>ROUND(C331*D$280,0)</f>
        <v>0</v>
      </c>
      <c r="F331" s="37" t="s">
        <v>144</v>
      </c>
      <c r="G331" s="17">
        <f>SUM(J331:M331,O331:P331,R331:AA331)</f>
        <v>54.18</v>
      </c>
      <c r="H331" s="19" t="e">
        <f>IF(ISBLANK(B331),0,+#REF!/B331)</f>
        <v>#REF!</v>
      </c>
      <c r="I331" s="19"/>
      <c r="J331" s="16">
        <f>IF(ISBLANK(B331),0,+J$280)</f>
        <v>54.18</v>
      </c>
      <c r="K331" s="16">
        <f>ROUND(K330*K$280,2)</f>
        <v>0</v>
      </c>
      <c r="L331" s="16">
        <f>ROUND(L330*L$280,2)</f>
        <v>0</v>
      </c>
      <c r="M331" s="16">
        <f>ROUND(M330*M$280,2)</f>
        <v>0</v>
      </c>
      <c r="N331" s="16">
        <f>SUM(K331:M331)</f>
        <v>0</v>
      </c>
      <c r="O331" s="16"/>
      <c r="P331" s="16"/>
      <c r="Q331" s="16"/>
      <c r="R331" s="8"/>
      <c r="S331" s="17">
        <f>ROUND($B331*S$280*S330,2)</f>
        <v>0</v>
      </c>
      <c r="T331" s="17">
        <f>ROUND($B331*T$280,2)</f>
        <v>0</v>
      </c>
      <c r="U331" s="17">
        <f>ROUND($B331*U$280,2)</f>
        <v>0</v>
      </c>
      <c r="V331" s="17">
        <f>ROUND($B331*V$276,2)</f>
        <v>0</v>
      </c>
      <c r="W331" s="17">
        <f>ROUND($B331*W$280,2)</f>
        <v>0</v>
      </c>
      <c r="X331" s="17">
        <f>ROUND($B331*X$280,2)</f>
        <v>0</v>
      </c>
      <c r="Y331" s="17">
        <f>ROUND($B331*Y$280,2)</f>
        <v>0</v>
      </c>
      <c r="Z331" s="17">
        <f>ROUND($B331*Z$280,2)</f>
        <v>0</v>
      </c>
      <c r="AA331" s="17">
        <f>ROUND($B331*AA$280,2)</f>
        <v>0</v>
      </c>
      <c r="AB331" s="19">
        <f>SUM(U326:AA326)</f>
        <v>0</v>
      </c>
      <c r="AC331" s="78" t="str">
        <f>+F331</f>
        <v>SE0</v>
      </c>
    </row>
    <row r="332" spans="1:29" x14ac:dyDescent="0.25">
      <c r="A332" s="9"/>
      <c r="B332" s="111">
        <v>-1</v>
      </c>
      <c r="C332" s="35"/>
      <c r="F332" s="12"/>
      <c r="G332" s="12"/>
      <c r="H332" s="12"/>
      <c r="I332" s="19"/>
      <c r="J332" s="12"/>
      <c r="K332" s="36">
        <f>IF(D333&gt;K$281,+K$281,D333)</f>
        <v>0</v>
      </c>
      <c r="L332" s="36">
        <f>IF(D333&gt;K332,+D333-K332,0)</f>
        <v>0</v>
      </c>
      <c r="M332" s="35">
        <f>IF(B333&gt;D333,+B333-D333,0)</f>
        <v>0</v>
      </c>
      <c r="N332" s="35"/>
      <c r="O332" s="35"/>
      <c r="P332" s="35"/>
      <c r="Q332" s="35"/>
      <c r="R332" s="12"/>
      <c r="S332" s="51">
        <v>0</v>
      </c>
      <c r="T332" s="12"/>
      <c r="U332" s="12"/>
      <c r="V332" s="12"/>
      <c r="W332" s="12"/>
      <c r="X332" s="12"/>
      <c r="Y332" s="12"/>
      <c r="Z332" s="12"/>
      <c r="AA332" s="12"/>
    </row>
    <row r="333" spans="1:29" ht="13" x14ac:dyDescent="0.3">
      <c r="A333" s="57" t="s">
        <v>172</v>
      </c>
      <c r="B333" s="111">
        <f>IF(AND('AES Indiana Sep 23 Bill Calc.'!$D$17="SE",'AES Indiana Sep 23 Bill Calc.'!$D$18="No",'AES Indiana Sep 23 Bill Calc.'!$D$20="Yes 2020"),'AES Indiana Sep 23 Bill Calc.'!$D$19,-1)</f>
        <v>-1</v>
      </c>
      <c r="C333" s="111" t="b">
        <f>IF(AND('AES Indiana Sep 23 Bill Calc.'!$D$17="SE",'AES Indiana Sep 23 Bill Calc.'!$D$18="No",'AES Indiana Sep 23 Bill Calc.'!$D$20="Yes 2020"),'AES Indiana Sep 23 Bill Calc.'!$D$23)</f>
        <v>0</v>
      </c>
      <c r="D333" s="2">
        <f>ROUND(C333*D$280,0)</f>
        <v>0</v>
      </c>
      <c r="F333" s="37" t="s">
        <v>144</v>
      </c>
      <c r="G333" s="17">
        <f>SUM(J333:M333,O333:P333,R333:AA333)</f>
        <v>54.18</v>
      </c>
      <c r="H333" s="19" t="e">
        <f>IF(ISBLANK(B333),0,+#REF!/B333)</f>
        <v>#REF!</v>
      </c>
      <c r="I333" s="19"/>
      <c r="J333" s="16">
        <f>IF(ISBLANK(B333),0,+J$280)</f>
        <v>54.18</v>
      </c>
      <c r="K333" s="16">
        <f>ROUND(K332*K$280,2)</f>
        <v>0</v>
      </c>
      <c r="L333" s="16">
        <f>ROUND(L332*L$280,2)</f>
        <v>0</v>
      </c>
      <c r="M333" s="16">
        <f>ROUND(M332*M$280,2)</f>
        <v>0</v>
      </c>
      <c r="N333" s="16">
        <f>SUM(K333:M333)</f>
        <v>0</v>
      </c>
      <c r="O333" s="16"/>
      <c r="P333" s="16"/>
      <c r="Q333" s="16"/>
      <c r="R333" s="8"/>
      <c r="S333" s="17">
        <f>ROUND($B333*S$280*S332,2)</f>
        <v>0</v>
      </c>
      <c r="T333" s="17">
        <f>ROUND($B333*T$280,2)</f>
        <v>0</v>
      </c>
      <c r="U333" s="17">
        <f>ROUND($B333*U$280,2)</f>
        <v>0</v>
      </c>
      <c r="V333" s="17">
        <f>ROUND($B333*V$276,2)</f>
        <v>0</v>
      </c>
      <c r="W333" s="17">
        <f>ROUND($B333*W$280,2)</f>
        <v>0</v>
      </c>
      <c r="X333" s="17">
        <f>ROUND($B333*X$280,2)</f>
        <v>0</v>
      </c>
      <c r="Y333" s="17">
        <f>ROUND($B333*Y$280,2)</f>
        <v>0</v>
      </c>
      <c r="Z333" s="17">
        <f>ROUND($B333*Z$280,2)</f>
        <v>0</v>
      </c>
      <c r="AA333" s="17">
        <f>ROUND($B333*AA$280,2)</f>
        <v>0</v>
      </c>
      <c r="AB333" s="19">
        <f>SUM(U328:AA328)</f>
        <v>0</v>
      </c>
      <c r="AC333" s="78" t="str">
        <f>+F333</f>
        <v>SE0</v>
      </c>
    </row>
    <row r="334" spans="1:29" x14ac:dyDescent="0.25">
      <c r="B334" s="111">
        <v>-1</v>
      </c>
      <c r="C334" s="35"/>
      <c r="F334" s="12"/>
      <c r="G334" s="12"/>
      <c r="H334" s="12"/>
      <c r="I334" s="19"/>
      <c r="J334" s="12"/>
      <c r="K334" s="36">
        <f>IF(D335&gt;K$281,+K$281,D335)</f>
        <v>0</v>
      </c>
      <c r="L334" s="36">
        <f>IF(D335&gt;K334,+D335-K334,0)</f>
        <v>0</v>
      </c>
      <c r="M334" s="35">
        <f>IF(B335&gt;D335,+B335-D335,0)</f>
        <v>0</v>
      </c>
      <c r="N334" s="35"/>
      <c r="O334" s="35"/>
      <c r="P334" s="35"/>
      <c r="Q334" s="35"/>
      <c r="R334" s="12"/>
      <c r="S334" s="51">
        <v>1</v>
      </c>
      <c r="T334" s="12"/>
      <c r="U334" s="12"/>
      <c r="V334" s="12"/>
      <c r="W334" s="12"/>
      <c r="X334" s="12"/>
      <c r="Y334" s="12"/>
      <c r="Z334" s="12"/>
      <c r="AA334" s="12"/>
    </row>
    <row r="335" spans="1:29" ht="13" x14ac:dyDescent="0.3">
      <c r="A335" s="1" t="s">
        <v>73</v>
      </c>
      <c r="B335" s="111">
        <f>IF(AND('AES Indiana Sep 23 Bill Calc.'!$D$17="SE",'AES Indiana Sep 23 Bill Calc.'!$D$18="Yes 100%",'AES Indiana Sep 23 Bill Calc.'!$D$20="Yes 2021"),'AES Indiana Sep 23 Bill Calc.'!$D$19,-1)</f>
        <v>-1</v>
      </c>
      <c r="C335" s="111" t="b">
        <f>IF(AND('AES Indiana Sep 23 Bill Calc.'!$D$17="SE",'AES Indiana Sep 23 Bill Calc.'!$D$18="Yes 100%",'AES Indiana Sep 23 Bill Calc.'!$D$20="Yes 2021"),'AES Indiana Sep 23 Bill Calc.'!$D$23)</f>
        <v>0</v>
      </c>
      <c r="D335" s="2">
        <f>ROUND(C335*D$280,0)</f>
        <v>0</v>
      </c>
      <c r="F335" s="37" t="s">
        <v>182</v>
      </c>
      <c r="G335" s="17">
        <f>SUM(J335:M335,O335:P335,R335:AA335)</f>
        <v>54.18</v>
      </c>
      <c r="H335" s="19" t="e">
        <f>IF(ISBLANK(B335),0,+#REF!/B335)</f>
        <v>#REF!</v>
      </c>
      <c r="I335" s="19"/>
      <c r="J335" s="16">
        <f>IF(ISBLANK(B335),0,+J$280)</f>
        <v>54.18</v>
      </c>
      <c r="K335" s="16">
        <f>ROUND(K334*K$280,2)</f>
        <v>0</v>
      </c>
      <c r="L335" s="16">
        <f>ROUND(L334*L$280,2)</f>
        <v>0</v>
      </c>
      <c r="M335" s="16">
        <f>ROUND(M334*M$280,2)</f>
        <v>0</v>
      </c>
      <c r="N335" s="16">
        <f>SUM(K335:M335)</f>
        <v>0</v>
      </c>
      <c r="O335" s="16"/>
      <c r="P335" s="16"/>
      <c r="Q335" s="16"/>
      <c r="R335" s="8"/>
      <c r="S335" s="17">
        <f>ROUND($B335*S$280*S334,2)</f>
        <v>0</v>
      </c>
      <c r="T335" s="17">
        <f>ROUND($B335*T$280,2)</f>
        <v>0</v>
      </c>
      <c r="U335" s="17">
        <f>ROUND($B335*U$280,2)</f>
        <v>0</v>
      </c>
      <c r="V335" s="17">
        <f>ROUND($B335*V$277,2)</f>
        <v>0</v>
      </c>
      <c r="W335" s="17">
        <f>ROUND($B335*W$280,2)</f>
        <v>0</v>
      </c>
      <c r="X335" s="17">
        <f>ROUND($B335*X$280,2)</f>
        <v>0</v>
      </c>
      <c r="Y335" s="17">
        <f>ROUND($B335*Y$280,2)</f>
        <v>0</v>
      </c>
      <c r="Z335" s="17">
        <f>ROUND($B335*Z$280,2)</f>
        <v>0</v>
      </c>
      <c r="AA335" s="17">
        <f>ROUND($B335*AA$280,2)</f>
        <v>0</v>
      </c>
      <c r="AB335" s="19">
        <f>SUM(U330:AA330)</f>
        <v>0</v>
      </c>
      <c r="AC335" s="78" t="str">
        <f>+F335</f>
        <v>SE1</v>
      </c>
    </row>
    <row r="336" spans="1:29" x14ac:dyDescent="0.25">
      <c r="A336" s="9"/>
      <c r="B336" s="111">
        <v>-1</v>
      </c>
      <c r="C336" s="35"/>
      <c r="F336" s="12"/>
      <c r="G336" s="12"/>
      <c r="H336" s="12"/>
      <c r="I336" s="19"/>
      <c r="J336" s="12"/>
      <c r="K336" s="36">
        <f>IF(D337&gt;K$281,+K$281,D337)</f>
        <v>0</v>
      </c>
      <c r="L336" s="36">
        <f>IF(D337&gt;K336,+D337-K336,0)</f>
        <v>0</v>
      </c>
      <c r="M336" s="35">
        <f>IF(B337&gt;D337,+B337-D337,0)</f>
        <v>0</v>
      </c>
      <c r="N336" s="35"/>
      <c r="O336" s="35"/>
      <c r="P336" s="35"/>
      <c r="Q336" s="35"/>
      <c r="R336" s="12"/>
      <c r="S336" s="51">
        <v>0.5</v>
      </c>
      <c r="T336" s="12"/>
      <c r="U336" s="12"/>
      <c r="V336" s="12"/>
      <c r="W336" s="12"/>
      <c r="X336" s="12"/>
      <c r="Y336" s="12"/>
      <c r="Z336" s="12"/>
      <c r="AA336" s="12"/>
    </row>
    <row r="337" spans="1:29" ht="13" x14ac:dyDescent="0.3">
      <c r="A337" s="57" t="s">
        <v>171</v>
      </c>
      <c r="B337" s="111">
        <f>IF(AND('AES Indiana Sep 23 Bill Calc.'!$D$17="SE",'AES Indiana Sep 23 Bill Calc.'!$D$18="Yes 50%",'AES Indiana Sep 23 Bill Calc.'!$D$20="Yes 2021"),'AES Indiana Sep 23 Bill Calc.'!$D$19,-1)</f>
        <v>-1</v>
      </c>
      <c r="C337" s="111" t="b">
        <f>IF(AND('AES Indiana Sep 23 Bill Calc.'!$D$17="SE",'AES Indiana Sep 23 Bill Calc.'!$D$18="Yes 50%",'AES Indiana Sep 23 Bill Calc.'!$D$20="Yes 2021"),'AES Indiana Sep 23 Bill Calc.'!$D$23)</f>
        <v>0</v>
      </c>
      <c r="D337" s="2">
        <f>ROUND(C337*D$280,0)</f>
        <v>0</v>
      </c>
      <c r="F337" s="37" t="s">
        <v>182</v>
      </c>
      <c r="G337" s="17">
        <f>SUM(J337:M337,O337:P337,R337:AA337)</f>
        <v>54.18</v>
      </c>
      <c r="H337" s="19" t="e">
        <f>IF(ISBLANK(B337),0,+#REF!/B337)</f>
        <v>#REF!</v>
      </c>
      <c r="I337" s="19"/>
      <c r="J337" s="16">
        <f>IF(ISBLANK(B337),0,+J$280)</f>
        <v>54.18</v>
      </c>
      <c r="K337" s="16">
        <f>ROUND(K336*K$280,2)</f>
        <v>0</v>
      </c>
      <c r="L337" s="16">
        <f>ROUND(L336*L$280,2)</f>
        <v>0</v>
      </c>
      <c r="M337" s="16">
        <f>ROUND(M336*M$280,2)</f>
        <v>0</v>
      </c>
      <c r="N337" s="16">
        <f>SUM(K337:M337)</f>
        <v>0</v>
      </c>
      <c r="O337" s="16"/>
      <c r="P337" s="16"/>
      <c r="Q337" s="16"/>
      <c r="R337" s="8"/>
      <c r="S337" s="17">
        <f>ROUND($B337*S$280*S336,2)</f>
        <v>0</v>
      </c>
      <c r="T337" s="17">
        <f>ROUND($B337*T$280,2)</f>
        <v>0</v>
      </c>
      <c r="U337" s="17">
        <f>ROUND($B337*U$280,2)</f>
        <v>0</v>
      </c>
      <c r="V337" s="17">
        <f>ROUND($B337*V$277,2)</f>
        <v>0</v>
      </c>
      <c r="W337" s="17">
        <f>ROUND($B337*W$280,2)</f>
        <v>0</v>
      </c>
      <c r="X337" s="17">
        <f>ROUND($B337*X$280,2)</f>
        <v>0</v>
      </c>
      <c r="Y337" s="17">
        <f>ROUND($B337*Y$280,2)</f>
        <v>0</v>
      </c>
      <c r="Z337" s="17">
        <f>ROUND($B337*Z$280,2)</f>
        <v>0</v>
      </c>
      <c r="AA337" s="17">
        <f>ROUND($B337*AA$280,2)</f>
        <v>0</v>
      </c>
      <c r="AB337" s="19">
        <f>SUM(U332:AA332)</f>
        <v>0</v>
      </c>
      <c r="AC337" s="78" t="str">
        <f>+F337</f>
        <v>SE1</v>
      </c>
    </row>
    <row r="338" spans="1:29" x14ac:dyDescent="0.25">
      <c r="A338" s="9"/>
      <c r="B338" s="111">
        <v>-1</v>
      </c>
      <c r="C338" s="35"/>
      <c r="F338" s="12"/>
      <c r="G338" s="12"/>
      <c r="H338" s="12"/>
      <c r="I338" s="19"/>
      <c r="J338" s="12"/>
      <c r="K338" s="36">
        <f>IF(D339&gt;K$281,+K$281,D339)</f>
        <v>0</v>
      </c>
      <c r="L338" s="36">
        <f>IF(D339&gt;K338,+D339-K338,0)</f>
        <v>0</v>
      </c>
      <c r="M338" s="35">
        <f>IF(B339&gt;D339,+B339-D339,0)</f>
        <v>0</v>
      </c>
      <c r="N338" s="35"/>
      <c r="O338" s="35"/>
      <c r="P338" s="35"/>
      <c r="Q338" s="35"/>
      <c r="R338" s="12"/>
      <c r="S338" s="51">
        <v>0.25</v>
      </c>
      <c r="T338" s="12"/>
      <c r="U338" s="12"/>
      <c r="V338" s="12"/>
      <c r="W338" s="12"/>
      <c r="X338" s="12"/>
      <c r="Y338" s="12"/>
      <c r="Z338" s="12"/>
      <c r="AA338" s="12"/>
    </row>
    <row r="339" spans="1:29" ht="13" x14ac:dyDescent="0.3">
      <c r="A339" s="57" t="s">
        <v>158</v>
      </c>
      <c r="B339" s="111">
        <f>IF(AND('AES Indiana Sep 23 Bill Calc.'!$D$17="SE",'AES Indiana Sep 23 Bill Calc.'!$D$18="Yes 25%",'AES Indiana Sep 23 Bill Calc.'!$D$20="Yes 2021"),'AES Indiana Sep 23 Bill Calc.'!$D$19,-1)</f>
        <v>-1</v>
      </c>
      <c r="C339" s="111" t="b">
        <f>IF(AND('AES Indiana Sep 23 Bill Calc.'!$D$17="SE",'AES Indiana Sep 23 Bill Calc.'!$D$18="Yes 25%",'AES Indiana Sep 23 Bill Calc.'!$D$20="Yes 2021"),'AES Indiana Sep 23 Bill Calc.'!$D$23)</f>
        <v>0</v>
      </c>
      <c r="D339" s="2">
        <f>ROUND(C339*D$280,0)</f>
        <v>0</v>
      </c>
      <c r="F339" s="37" t="s">
        <v>182</v>
      </c>
      <c r="G339" s="17">
        <f>SUM(J339:M339,O339:P339,R339:AA339)</f>
        <v>54.18</v>
      </c>
      <c r="H339" s="19" t="e">
        <f>IF(ISBLANK(B339),0,+#REF!/B339)</f>
        <v>#REF!</v>
      </c>
      <c r="I339" s="19"/>
      <c r="J339" s="16">
        <f>IF(ISBLANK(B339),0,+J$280)</f>
        <v>54.18</v>
      </c>
      <c r="K339" s="16">
        <f>ROUND(K338*K$280,2)</f>
        <v>0</v>
      </c>
      <c r="L339" s="16">
        <f>ROUND(L338*L$280,2)</f>
        <v>0</v>
      </c>
      <c r="M339" s="16">
        <f>ROUND(M338*M$280,2)</f>
        <v>0</v>
      </c>
      <c r="N339" s="16">
        <f>SUM(K339:M339)</f>
        <v>0</v>
      </c>
      <c r="O339" s="16"/>
      <c r="P339" s="16"/>
      <c r="Q339" s="16"/>
      <c r="R339" s="8"/>
      <c r="S339" s="17">
        <f>ROUND($B339*S$280*S338,2)</f>
        <v>0</v>
      </c>
      <c r="T339" s="17">
        <f>ROUND($B339*T$280,2)</f>
        <v>0</v>
      </c>
      <c r="U339" s="17">
        <f>ROUND($B339*U$280,2)</f>
        <v>0</v>
      </c>
      <c r="V339" s="17">
        <f>ROUND($B339*V$277,2)</f>
        <v>0</v>
      </c>
      <c r="W339" s="17">
        <f>ROUND($B339*W$280,2)</f>
        <v>0</v>
      </c>
      <c r="X339" s="17">
        <f>ROUND($B339*X$280,2)</f>
        <v>0</v>
      </c>
      <c r="Y339" s="17">
        <f>ROUND($B339*Y$280,2)</f>
        <v>0</v>
      </c>
      <c r="Z339" s="17">
        <f>ROUND($B339*Z$280,2)</f>
        <v>0</v>
      </c>
      <c r="AA339" s="17">
        <f>ROUND($B339*AA$280,2)</f>
        <v>0</v>
      </c>
      <c r="AB339" s="19">
        <f>SUM(U334:AA334)</f>
        <v>0</v>
      </c>
      <c r="AC339" s="78" t="str">
        <f>+F339</f>
        <v>SE1</v>
      </c>
    </row>
    <row r="340" spans="1:29" x14ac:dyDescent="0.25">
      <c r="A340" s="9"/>
      <c r="B340" s="111">
        <v>-1</v>
      </c>
      <c r="C340" s="35"/>
      <c r="F340" s="12"/>
      <c r="G340" s="12"/>
      <c r="H340" s="12"/>
      <c r="I340" s="19"/>
      <c r="J340" s="12"/>
      <c r="K340" s="36">
        <f>IF(D341&gt;K$281,+K$281,D341)</f>
        <v>0</v>
      </c>
      <c r="L340" s="36">
        <f>IF(D341&gt;K340,+D341-K340,0)</f>
        <v>0</v>
      </c>
      <c r="M340" s="35">
        <f>IF(B341&gt;D341,+B341-D341,0)</f>
        <v>0</v>
      </c>
      <c r="N340" s="35"/>
      <c r="O340" s="35"/>
      <c r="P340" s="35"/>
      <c r="Q340" s="35"/>
      <c r="R340" s="12"/>
      <c r="S340" s="51">
        <v>0.1</v>
      </c>
      <c r="T340" s="12"/>
      <c r="U340" s="12"/>
      <c r="V340" s="12"/>
      <c r="W340" s="12"/>
      <c r="X340" s="12"/>
      <c r="Y340" s="12"/>
      <c r="Z340" s="12"/>
      <c r="AA340" s="12"/>
    </row>
    <row r="341" spans="1:29" ht="13" x14ac:dyDescent="0.3">
      <c r="A341" s="57" t="s">
        <v>173</v>
      </c>
      <c r="B341" s="111">
        <f>IF(AND('AES Indiana Sep 23 Bill Calc.'!$D$17="SE",'AES Indiana Sep 23 Bill Calc.'!$D$18="Yes 10%",'AES Indiana Sep 23 Bill Calc.'!$D$20="Yes 2021"),'AES Indiana Sep 23 Bill Calc.'!$D$19,-1)</f>
        <v>-1</v>
      </c>
      <c r="C341" s="111" t="b">
        <f>IF(AND('AES Indiana Sep 23 Bill Calc.'!$D$17="SE",'AES Indiana Sep 23 Bill Calc.'!$D$18="Yes 10%",'AES Indiana Sep 23 Bill Calc.'!$D$20="Yes 2021"),'AES Indiana Sep 23 Bill Calc.'!$D$23)</f>
        <v>0</v>
      </c>
      <c r="D341" s="2">
        <f>ROUND(C341*D$280,0)</f>
        <v>0</v>
      </c>
      <c r="F341" s="37" t="s">
        <v>182</v>
      </c>
      <c r="G341" s="17">
        <f>SUM(J341:M341,O341:P341,R341:AA341)</f>
        <v>54.18</v>
      </c>
      <c r="H341" s="19" t="e">
        <f>IF(ISBLANK(B341),0,+#REF!/B341)</f>
        <v>#REF!</v>
      </c>
      <c r="I341" s="19"/>
      <c r="J341" s="16">
        <f>IF(ISBLANK(B341),0,+J$280)</f>
        <v>54.18</v>
      </c>
      <c r="K341" s="16">
        <f>ROUND(K340*K$280,2)</f>
        <v>0</v>
      </c>
      <c r="L341" s="16">
        <f>ROUND(L340*L$280,2)</f>
        <v>0</v>
      </c>
      <c r="M341" s="16">
        <f>ROUND(M340*M$280,2)</f>
        <v>0</v>
      </c>
      <c r="N341" s="16">
        <f>SUM(K341:M341)</f>
        <v>0</v>
      </c>
      <c r="O341" s="16"/>
      <c r="P341" s="16"/>
      <c r="Q341" s="16"/>
      <c r="R341" s="8"/>
      <c r="S341" s="17">
        <f>ROUND($B341*S$280*S340,2)</f>
        <v>0</v>
      </c>
      <c r="T341" s="17">
        <f>ROUND($B341*T$280,2)</f>
        <v>0</v>
      </c>
      <c r="U341" s="17">
        <f>ROUND($B341*U$280,2)</f>
        <v>0</v>
      </c>
      <c r="V341" s="17">
        <f>ROUND($B341*V$277,2)</f>
        <v>0</v>
      </c>
      <c r="W341" s="17">
        <f>ROUND($B341*W$280,2)</f>
        <v>0</v>
      </c>
      <c r="X341" s="17">
        <f>ROUND($B341*X$280,2)</f>
        <v>0</v>
      </c>
      <c r="Y341" s="17">
        <f>ROUND($B341*Y$280,2)</f>
        <v>0</v>
      </c>
      <c r="Z341" s="17">
        <f>ROUND($B341*Z$280,2)</f>
        <v>0</v>
      </c>
      <c r="AA341" s="17">
        <f>ROUND($B341*AA$280,2)</f>
        <v>0</v>
      </c>
      <c r="AB341" s="19">
        <f>SUM(U336:AA336)</f>
        <v>0</v>
      </c>
      <c r="AC341" s="78" t="str">
        <f>+F341</f>
        <v>SE1</v>
      </c>
    </row>
    <row r="342" spans="1:29" x14ac:dyDescent="0.25">
      <c r="A342" s="9"/>
      <c r="B342" s="111">
        <v>-1</v>
      </c>
      <c r="C342" s="35"/>
      <c r="F342" s="12"/>
      <c r="G342" s="12"/>
      <c r="H342" s="12"/>
      <c r="I342" s="19"/>
      <c r="J342" s="12"/>
      <c r="K342" s="36">
        <f>IF(D343&gt;K$281,+K$281,D343)</f>
        <v>0</v>
      </c>
      <c r="L342" s="36">
        <f>IF(D343&gt;K342,+D343-K342,0)</f>
        <v>0</v>
      </c>
      <c r="M342" s="35">
        <f>IF(B343&gt;D343,+B343-D343,0)</f>
        <v>0</v>
      </c>
      <c r="N342" s="35"/>
      <c r="O342" s="35"/>
      <c r="P342" s="35"/>
      <c r="Q342" s="35"/>
      <c r="R342" s="12"/>
      <c r="S342" s="51">
        <v>0</v>
      </c>
      <c r="T342" s="12"/>
      <c r="U342" s="12"/>
      <c r="V342" s="12"/>
      <c r="W342" s="12"/>
      <c r="X342" s="12"/>
      <c r="Y342" s="12"/>
      <c r="Z342" s="12"/>
      <c r="AA342" s="12"/>
    </row>
    <row r="343" spans="1:29" ht="13" x14ac:dyDescent="0.3">
      <c r="A343" s="57" t="s">
        <v>172</v>
      </c>
      <c r="B343" s="111">
        <f>IF(AND('AES Indiana Sep 23 Bill Calc.'!$D$17="SE",'AES Indiana Sep 23 Bill Calc.'!$D$18="No",'AES Indiana Sep 23 Bill Calc.'!$D$20="Yes 2021"),'AES Indiana Sep 23 Bill Calc.'!$D$19,-1)</f>
        <v>-1</v>
      </c>
      <c r="C343" s="111" t="b">
        <f>IF(AND('AES Indiana Sep 23 Bill Calc.'!$D$17="SE",'AES Indiana Sep 23 Bill Calc.'!$D$18="No",'AES Indiana Sep 23 Bill Calc.'!$D$20="Yes 2021"),'AES Indiana Sep 23 Bill Calc.'!$D$23)</f>
        <v>0</v>
      </c>
      <c r="D343" s="2">
        <f>ROUND(C343*D$280,0)</f>
        <v>0</v>
      </c>
      <c r="F343" s="37" t="s">
        <v>182</v>
      </c>
      <c r="G343" s="17">
        <f>SUM(J343:M343,O343:P343,R343:AA343)</f>
        <v>54.18</v>
      </c>
      <c r="H343" s="19" t="e">
        <f>IF(ISBLANK(B343),0,+#REF!/B343)</f>
        <v>#REF!</v>
      </c>
      <c r="I343" s="19"/>
      <c r="J343" s="16">
        <f>IF(ISBLANK(B343),0,+J$280)</f>
        <v>54.18</v>
      </c>
      <c r="K343" s="16">
        <f>ROUND(K342*K$280,2)</f>
        <v>0</v>
      </c>
      <c r="L343" s="16">
        <f>ROUND(L342*L$280,2)</f>
        <v>0</v>
      </c>
      <c r="M343" s="16">
        <f>ROUND(M342*M$280,2)</f>
        <v>0</v>
      </c>
      <c r="N343" s="16">
        <f>SUM(K343:M343)</f>
        <v>0</v>
      </c>
      <c r="O343" s="16"/>
      <c r="P343" s="16"/>
      <c r="Q343" s="16"/>
      <c r="R343" s="8"/>
      <c r="S343" s="17">
        <f>ROUND($B343*S$280*S342,2)</f>
        <v>0</v>
      </c>
      <c r="T343" s="17">
        <f>ROUND($B343*T$280,2)</f>
        <v>0</v>
      </c>
      <c r="U343" s="17">
        <f>ROUND($B343*U$280,2)</f>
        <v>0</v>
      </c>
      <c r="V343" s="17">
        <f>ROUND($B343*V$277,2)</f>
        <v>0</v>
      </c>
      <c r="W343" s="17">
        <f>ROUND($B343*W$280,2)</f>
        <v>0</v>
      </c>
      <c r="X343" s="17">
        <f>ROUND($B343*X$280,2)</f>
        <v>0</v>
      </c>
      <c r="Y343" s="17">
        <f>ROUND($B343*Y$280,2)</f>
        <v>0</v>
      </c>
      <c r="Z343" s="17">
        <f>ROUND($B343*Z$280,2)</f>
        <v>0</v>
      </c>
      <c r="AA343" s="17">
        <f>ROUND($B343*AA$280,2)</f>
        <v>0</v>
      </c>
      <c r="AB343" s="19">
        <f>SUM(U338:AA338)</f>
        <v>0</v>
      </c>
      <c r="AC343" s="78" t="str">
        <f>+F343</f>
        <v>SE1</v>
      </c>
    </row>
    <row r="344" spans="1:29" x14ac:dyDescent="0.25">
      <c r="B344" s="111">
        <v>-1</v>
      </c>
      <c r="C344" s="35"/>
      <c r="F344" s="12"/>
      <c r="G344" s="12"/>
      <c r="H344" s="12"/>
      <c r="I344" s="19"/>
      <c r="J344" s="12"/>
      <c r="K344" s="36">
        <f>IF(D345&gt;K$281,+K$281,D345)</f>
        <v>0</v>
      </c>
      <c r="L344" s="36">
        <f>IF(D345&gt;K344,+D345-K344,0)</f>
        <v>0</v>
      </c>
      <c r="M344" s="35">
        <f>IF(B345&gt;D345,+B345-D345,0)</f>
        <v>0</v>
      </c>
      <c r="N344" s="35"/>
      <c r="O344" s="35"/>
      <c r="P344" s="35"/>
      <c r="Q344" s="35"/>
      <c r="R344" s="12"/>
      <c r="S344" s="51">
        <v>1</v>
      </c>
      <c r="T344" s="12"/>
      <c r="U344" s="12"/>
      <c r="V344" s="12"/>
      <c r="W344" s="12"/>
      <c r="X344" s="12"/>
      <c r="Y344" s="12"/>
      <c r="Z344" s="12"/>
      <c r="AA344" s="12"/>
    </row>
    <row r="345" spans="1:29" ht="13" x14ac:dyDescent="0.3">
      <c r="A345" s="1" t="s">
        <v>73</v>
      </c>
      <c r="B345" s="111">
        <f>IF(AND('AES Indiana Sep 23 Bill Calc.'!$D$17="SE",'AES Indiana Sep 23 Bill Calc.'!$D$18="Yes 100%",'AES Indiana Sep 23 Bill Calc.'!$D$20="Yes 2022"),'AES Indiana Sep 23 Bill Calc.'!$D$19,-1)</f>
        <v>-1</v>
      </c>
      <c r="C345" s="111" t="b">
        <f>IF(AND('AES Indiana Sep 23 Bill Calc.'!$D$17="SE",'AES Indiana Sep 23 Bill Calc.'!$D$18="Yes 100%",'AES Indiana Sep 23 Bill Calc.'!$D$20="Yes 2022"),'AES Indiana Sep 23 Bill Calc.'!$D$23)</f>
        <v>0</v>
      </c>
      <c r="D345" s="2">
        <f>ROUND(C345*D$280,0)</f>
        <v>0</v>
      </c>
      <c r="F345" s="37" t="s">
        <v>183</v>
      </c>
      <c r="G345" s="17">
        <f>SUM(J345:M345,O345:P345,R345:AA345)</f>
        <v>54.18</v>
      </c>
      <c r="H345" s="19" t="e">
        <f>IF(ISBLANK(B345),0,+#REF!/B345)</f>
        <v>#REF!</v>
      </c>
      <c r="I345" s="19"/>
      <c r="J345" s="16">
        <f>IF(ISBLANK(B345),0,+J$280)</f>
        <v>54.18</v>
      </c>
      <c r="K345" s="16">
        <f>ROUND(K344*K$280,2)</f>
        <v>0</v>
      </c>
      <c r="L345" s="16">
        <f>ROUND(L344*L$280,2)</f>
        <v>0</v>
      </c>
      <c r="M345" s="16">
        <f>ROUND(M344*M$280,2)</f>
        <v>0</v>
      </c>
      <c r="N345" s="16">
        <f>SUM(K345:M345)</f>
        <v>0</v>
      </c>
      <c r="O345" s="16"/>
      <c r="P345" s="16"/>
      <c r="Q345" s="16"/>
      <c r="R345" s="8"/>
      <c r="S345" s="17">
        <f>ROUND($B345*S$280*S344,2)</f>
        <v>0</v>
      </c>
      <c r="T345" s="17">
        <f>ROUND($B345*T$280,2)</f>
        <v>0</v>
      </c>
      <c r="U345" s="17">
        <f>ROUND($B345*U$280,2)</f>
        <v>0</v>
      </c>
      <c r="V345" s="17">
        <f>ROUND($B345*V$278,2)</f>
        <v>0</v>
      </c>
      <c r="W345" s="17">
        <f>ROUND($B345*W$280,2)</f>
        <v>0</v>
      </c>
      <c r="X345" s="17">
        <f>ROUND($B345*X$280,2)</f>
        <v>0</v>
      </c>
      <c r="Y345" s="17">
        <f>ROUND($B345*Y$280,2)</f>
        <v>0</v>
      </c>
      <c r="Z345" s="17">
        <f>ROUND($B345*Z$280,2)</f>
        <v>0</v>
      </c>
      <c r="AA345" s="17">
        <f>ROUND($B345*AA$280,2)</f>
        <v>0</v>
      </c>
      <c r="AB345" s="19">
        <f>SUM(U340:AA340)</f>
        <v>0</v>
      </c>
      <c r="AC345" s="78" t="str">
        <f>+F345</f>
        <v>SE2</v>
      </c>
    </row>
    <row r="346" spans="1:29" x14ac:dyDescent="0.25">
      <c r="A346" s="9"/>
      <c r="B346" s="111">
        <v>-1</v>
      </c>
      <c r="C346" s="35"/>
      <c r="F346" s="12"/>
      <c r="G346" s="12"/>
      <c r="H346" s="12"/>
      <c r="I346" s="19"/>
      <c r="J346" s="12"/>
      <c r="K346" s="36">
        <f>IF(D347&gt;K$281,+K$281,D347)</f>
        <v>0</v>
      </c>
      <c r="L346" s="36">
        <f>IF(D347&gt;K346,+D347-K346,0)</f>
        <v>0</v>
      </c>
      <c r="M346" s="35">
        <f>IF(B347&gt;D347,+B347-D347,0)</f>
        <v>0</v>
      </c>
      <c r="N346" s="35"/>
      <c r="O346" s="35"/>
      <c r="P346" s="35"/>
      <c r="Q346" s="35"/>
      <c r="R346" s="12"/>
      <c r="S346" s="51">
        <v>0.5</v>
      </c>
      <c r="T346" s="12"/>
      <c r="U346" s="12"/>
      <c r="V346" s="12"/>
      <c r="W346" s="12"/>
      <c r="X346" s="12"/>
      <c r="Y346" s="12"/>
      <c r="Z346" s="12"/>
      <c r="AA346" s="12"/>
    </row>
    <row r="347" spans="1:29" ht="13" x14ac:dyDescent="0.3">
      <c r="A347" s="57" t="s">
        <v>171</v>
      </c>
      <c r="B347" s="111">
        <f>IF(AND('AES Indiana Sep 23 Bill Calc.'!$D$17="SE",'AES Indiana Sep 23 Bill Calc.'!$D$18="Yes 50%",'AES Indiana Sep 23 Bill Calc.'!$D$20="Yes 2022"),'AES Indiana Sep 23 Bill Calc.'!$D$19,-1)</f>
        <v>-1</v>
      </c>
      <c r="C347" s="111" t="b">
        <f>IF(AND('AES Indiana Sep 23 Bill Calc.'!$D$17="SE",'AES Indiana Sep 23 Bill Calc.'!$D$18="Yes 50%",'AES Indiana Sep 23 Bill Calc.'!$D$20="Yes 2022"),'AES Indiana Sep 23 Bill Calc.'!$D$23)</f>
        <v>0</v>
      </c>
      <c r="D347" s="2">
        <f>ROUND(C347*D$280,0)</f>
        <v>0</v>
      </c>
      <c r="F347" s="37" t="s">
        <v>183</v>
      </c>
      <c r="G347" s="17">
        <f>SUM(J347:M347,O347:P347,R347:AA347)</f>
        <v>54.18</v>
      </c>
      <c r="H347" s="19" t="e">
        <f>IF(ISBLANK(B347),0,+#REF!/B347)</f>
        <v>#REF!</v>
      </c>
      <c r="I347" s="19"/>
      <c r="J347" s="16">
        <f>IF(ISBLANK(B347),0,+J$280)</f>
        <v>54.18</v>
      </c>
      <c r="K347" s="16">
        <f>ROUND(K346*K$280,2)</f>
        <v>0</v>
      </c>
      <c r="L347" s="16">
        <f>ROUND(L346*L$280,2)</f>
        <v>0</v>
      </c>
      <c r="M347" s="16">
        <f>ROUND(M346*M$280,2)</f>
        <v>0</v>
      </c>
      <c r="N347" s="16">
        <f>SUM(K347:M347)</f>
        <v>0</v>
      </c>
      <c r="O347" s="16"/>
      <c r="P347" s="16"/>
      <c r="Q347" s="16"/>
      <c r="R347" s="8"/>
      <c r="S347" s="17">
        <f>ROUND($B347*S$280*S346,2)</f>
        <v>0</v>
      </c>
      <c r="T347" s="17">
        <f>ROUND($B347*T$280,2)</f>
        <v>0</v>
      </c>
      <c r="U347" s="17">
        <f>ROUND($B347*U$280,2)</f>
        <v>0</v>
      </c>
      <c r="V347" s="17">
        <f>ROUND($B347*V$278,2)</f>
        <v>0</v>
      </c>
      <c r="W347" s="17">
        <f>ROUND($B347*W$280,2)</f>
        <v>0</v>
      </c>
      <c r="X347" s="17">
        <f>ROUND($B347*X$280,2)</f>
        <v>0</v>
      </c>
      <c r="Y347" s="17">
        <f>ROUND($B347*Y$280,2)</f>
        <v>0</v>
      </c>
      <c r="Z347" s="17">
        <f>ROUND($B347*Z$280,2)</f>
        <v>0</v>
      </c>
      <c r="AA347" s="17">
        <f>ROUND($B347*AA$280,2)</f>
        <v>0</v>
      </c>
      <c r="AB347" s="19">
        <f>SUM(U342:AA342)</f>
        <v>0</v>
      </c>
      <c r="AC347" s="78" t="str">
        <f>+F347</f>
        <v>SE2</v>
      </c>
    </row>
    <row r="348" spans="1:29" x14ac:dyDescent="0.25">
      <c r="A348" s="9"/>
      <c r="B348" s="111">
        <v>-1</v>
      </c>
      <c r="C348" s="35"/>
      <c r="F348" s="12"/>
      <c r="G348" s="12"/>
      <c r="H348" s="12"/>
      <c r="I348" s="19"/>
      <c r="J348" s="12"/>
      <c r="K348" s="36">
        <f>IF(D349&gt;K$281,+K$281,D349)</f>
        <v>0</v>
      </c>
      <c r="L348" s="36">
        <f>IF(D349&gt;K348,+D349-K348,0)</f>
        <v>0</v>
      </c>
      <c r="M348" s="35">
        <f>IF(B349&gt;D349,+B349-D349,0)</f>
        <v>0</v>
      </c>
      <c r="N348" s="35"/>
      <c r="O348" s="35"/>
      <c r="P348" s="35"/>
      <c r="Q348" s="35"/>
      <c r="R348" s="12"/>
      <c r="S348" s="51">
        <v>0.25</v>
      </c>
      <c r="T348" s="12"/>
      <c r="U348" s="12"/>
      <c r="V348" s="12"/>
      <c r="W348" s="12"/>
      <c r="X348" s="12"/>
      <c r="Y348" s="12"/>
      <c r="Z348" s="12"/>
      <c r="AA348" s="12"/>
    </row>
    <row r="349" spans="1:29" ht="13" x14ac:dyDescent="0.3">
      <c r="A349" s="57" t="s">
        <v>158</v>
      </c>
      <c r="B349" s="111">
        <f>IF(AND('AES Indiana Sep 23 Bill Calc.'!$D$17="SE",'AES Indiana Sep 23 Bill Calc.'!$D$18="Yes 25%",'AES Indiana Sep 23 Bill Calc.'!$D$20="Yes 2022"),'AES Indiana Sep 23 Bill Calc.'!$D$19,-1)</f>
        <v>-1</v>
      </c>
      <c r="C349" s="111" t="b">
        <f>IF(AND('AES Indiana Sep 23 Bill Calc.'!$D$17="SE",'AES Indiana Sep 23 Bill Calc.'!$D$18="Yes 25%",'AES Indiana Sep 23 Bill Calc.'!$D$20="Yes 2022"),'AES Indiana Sep 23 Bill Calc.'!$D$23)</f>
        <v>0</v>
      </c>
      <c r="D349" s="2">
        <f>ROUND(C349*D$280,0)</f>
        <v>0</v>
      </c>
      <c r="F349" s="37" t="s">
        <v>183</v>
      </c>
      <c r="G349" s="17">
        <f>SUM(J349:M349,O349:P349,R349:AA349)</f>
        <v>54.18</v>
      </c>
      <c r="H349" s="19" t="e">
        <f>IF(ISBLANK(B349),0,+#REF!/B349)</f>
        <v>#REF!</v>
      </c>
      <c r="I349" s="19"/>
      <c r="J349" s="16">
        <f>IF(ISBLANK(B349),0,+J$280)</f>
        <v>54.18</v>
      </c>
      <c r="K349" s="16">
        <f>ROUND(K348*K$280,2)</f>
        <v>0</v>
      </c>
      <c r="L349" s="16">
        <f>ROUND(L348*L$280,2)</f>
        <v>0</v>
      </c>
      <c r="M349" s="16">
        <f>ROUND(M348*M$280,2)</f>
        <v>0</v>
      </c>
      <c r="N349" s="16">
        <f>SUM(K349:M349)</f>
        <v>0</v>
      </c>
      <c r="O349" s="16"/>
      <c r="P349" s="16"/>
      <c r="Q349" s="16"/>
      <c r="R349" s="8"/>
      <c r="S349" s="17">
        <f>ROUND($B349*S$280*S348,2)</f>
        <v>0</v>
      </c>
      <c r="T349" s="17">
        <f>ROUND($B349*T$280,2)</f>
        <v>0</v>
      </c>
      <c r="U349" s="17">
        <f>ROUND($B349*U$280,2)</f>
        <v>0</v>
      </c>
      <c r="V349" s="17">
        <f>ROUND($B349*V$278,2)</f>
        <v>0</v>
      </c>
      <c r="W349" s="17">
        <f>ROUND($B349*W$280,2)</f>
        <v>0</v>
      </c>
      <c r="X349" s="17">
        <f>ROUND($B349*X$280,2)</f>
        <v>0</v>
      </c>
      <c r="Y349" s="17">
        <f>ROUND($B349*Y$280,2)</f>
        <v>0</v>
      </c>
      <c r="Z349" s="17">
        <f>ROUND($B349*Z$280,2)</f>
        <v>0</v>
      </c>
      <c r="AA349" s="17">
        <f>ROUND($B349*AA$280,2)</f>
        <v>0</v>
      </c>
      <c r="AB349" s="19">
        <f>SUM(U344:AA344)</f>
        <v>0</v>
      </c>
      <c r="AC349" s="78" t="str">
        <f>+F349</f>
        <v>SE2</v>
      </c>
    </row>
    <row r="350" spans="1:29" x14ac:dyDescent="0.25">
      <c r="A350" s="9"/>
      <c r="B350" s="111">
        <v>-1</v>
      </c>
      <c r="C350" s="35"/>
      <c r="F350" s="12"/>
      <c r="G350" s="12"/>
      <c r="H350" s="12"/>
      <c r="I350" s="19"/>
      <c r="J350" s="12"/>
      <c r="K350" s="36">
        <f>IF(D351&gt;K$281,+K$281,D351)</f>
        <v>0</v>
      </c>
      <c r="L350" s="36">
        <f>IF(D351&gt;K350,+D351-K350,0)</f>
        <v>0</v>
      </c>
      <c r="M350" s="35">
        <f>IF(B351&gt;D351,+B351-D351,0)</f>
        <v>0</v>
      </c>
      <c r="N350" s="35"/>
      <c r="O350" s="35"/>
      <c r="P350" s="35"/>
      <c r="Q350" s="35"/>
      <c r="R350" s="12"/>
      <c r="S350" s="51">
        <v>0.1</v>
      </c>
      <c r="T350" s="12"/>
      <c r="U350" s="12"/>
      <c r="V350" s="12"/>
      <c r="W350" s="12"/>
      <c r="X350" s="12"/>
      <c r="Y350" s="12"/>
      <c r="Z350" s="12"/>
      <c r="AA350" s="12"/>
    </row>
    <row r="351" spans="1:29" ht="13" x14ac:dyDescent="0.3">
      <c r="A351" s="57" t="s">
        <v>173</v>
      </c>
      <c r="B351" s="111">
        <f>IF(AND('AES Indiana Sep 23 Bill Calc.'!$D$17="SE",'AES Indiana Sep 23 Bill Calc.'!$D$18="Yes 10%",'AES Indiana Sep 23 Bill Calc.'!$D$20="Yes 2022"),'AES Indiana Sep 23 Bill Calc.'!$D$19,-1)</f>
        <v>-1</v>
      </c>
      <c r="C351" s="111" t="b">
        <f>IF(AND('AES Indiana Sep 23 Bill Calc.'!$D$17="SE",'AES Indiana Sep 23 Bill Calc.'!$D$18="Yes 10%",'AES Indiana Sep 23 Bill Calc.'!$D$20="Yes 2022"),'AES Indiana Sep 23 Bill Calc.'!$D$23)</f>
        <v>0</v>
      </c>
      <c r="D351" s="2">
        <f>ROUND(C351*D$280,0)</f>
        <v>0</v>
      </c>
      <c r="F351" s="37" t="s">
        <v>183</v>
      </c>
      <c r="G351" s="17">
        <f>SUM(J351:M351,O351:P351,R351:AA351)</f>
        <v>54.18</v>
      </c>
      <c r="H351" s="19" t="e">
        <f>IF(ISBLANK(B351),0,+#REF!/B351)</f>
        <v>#REF!</v>
      </c>
      <c r="I351" s="19"/>
      <c r="J351" s="16">
        <f>IF(ISBLANK(B351),0,+J$280)</f>
        <v>54.18</v>
      </c>
      <c r="K351" s="16">
        <f>ROUND(K350*K$280,2)</f>
        <v>0</v>
      </c>
      <c r="L351" s="16">
        <f>ROUND(L350*L$280,2)</f>
        <v>0</v>
      </c>
      <c r="M351" s="16">
        <f>ROUND(M350*M$280,2)</f>
        <v>0</v>
      </c>
      <c r="N351" s="16">
        <f>SUM(K351:M351)</f>
        <v>0</v>
      </c>
      <c r="O351" s="16"/>
      <c r="P351" s="16"/>
      <c r="Q351" s="16"/>
      <c r="R351" s="8"/>
      <c r="S351" s="17">
        <f>ROUND($B351*S$280*S350,2)</f>
        <v>0</v>
      </c>
      <c r="T351" s="17">
        <f>ROUND($B351*T$280,2)</f>
        <v>0</v>
      </c>
      <c r="U351" s="17">
        <f>ROUND($B351*U$280,2)</f>
        <v>0</v>
      </c>
      <c r="V351" s="17">
        <f>ROUND($B351*V$278,2)</f>
        <v>0</v>
      </c>
      <c r="W351" s="17">
        <f>ROUND($B351*W$280,2)</f>
        <v>0</v>
      </c>
      <c r="X351" s="17">
        <f>ROUND($B351*X$280,2)</f>
        <v>0</v>
      </c>
      <c r="Y351" s="17">
        <f>ROUND($B351*Y$280,2)</f>
        <v>0</v>
      </c>
      <c r="Z351" s="17">
        <f>ROUND($B351*Z$280,2)</f>
        <v>0</v>
      </c>
      <c r="AA351" s="17">
        <f>ROUND($B351*AA$280,2)</f>
        <v>0</v>
      </c>
      <c r="AB351" s="19">
        <f>SUM(U346:AA346)</f>
        <v>0</v>
      </c>
      <c r="AC351" s="78" t="str">
        <f>+F351</f>
        <v>SE2</v>
      </c>
    </row>
    <row r="352" spans="1:29" x14ac:dyDescent="0.25">
      <c r="A352" s="9"/>
      <c r="B352" s="111">
        <v>-1</v>
      </c>
      <c r="C352" s="35"/>
      <c r="F352" s="12"/>
      <c r="G352" s="12"/>
      <c r="H352" s="12"/>
      <c r="I352" s="19"/>
      <c r="J352" s="12"/>
      <c r="K352" s="36">
        <f>IF(D353&gt;K$281,+K$281,D353)</f>
        <v>0</v>
      </c>
      <c r="L352" s="36">
        <f>IF(D353&gt;K352,+D353-K352,0)</f>
        <v>0</v>
      </c>
      <c r="M352" s="35">
        <f>IF(B353&gt;D353,+B353-D353,0)</f>
        <v>0</v>
      </c>
      <c r="N352" s="35"/>
      <c r="O352" s="35"/>
      <c r="P352" s="35"/>
      <c r="Q352" s="35"/>
      <c r="R352" s="12"/>
      <c r="S352" s="51">
        <v>0</v>
      </c>
      <c r="T352" s="12"/>
      <c r="U352" s="12"/>
      <c r="V352" s="12"/>
      <c r="W352" s="12"/>
      <c r="X352" s="12"/>
      <c r="Y352" s="12"/>
      <c r="Z352" s="12"/>
      <c r="AA352" s="12"/>
    </row>
    <row r="353" spans="1:29" ht="13" x14ac:dyDescent="0.3">
      <c r="A353" s="57" t="s">
        <v>172</v>
      </c>
      <c r="B353" s="111">
        <f>IF(AND('AES Indiana Sep 23 Bill Calc.'!$D$17="SE",'AES Indiana Sep 23 Bill Calc.'!$D$18="No",'AES Indiana Sep 23 Bill Calc.'!$D$20="Yes 2022"),'AES Indiana Sep 23 Bill Calc.'!$D$19,-1)</f>
        <v>-1</v>
      </c>
      <c r="C353" s="111" t="b">
        <f>IF(AND('AES Indiana Sep 23 Bill Calc.'!$D$17="SE",'AES Indiana Sep 23 Bill Calc.'!$D$18="No",'AES Indiana Sep 23 Bill Calc.'!$D$20="Yes 2022"),'AES Indiana Sep 23 Bill Calc.'!$D$23)</f>
        <v>0</v>
      </c>
      <c r="D353" s="2">
        <f>ROUND(C353*D$280,0)</f>
        <v>0</v>
      </c>
      <c r="F353" s="37" t="s">
        <v>183</v>
      </c>
      <c r="G353" s="17">
        <f>SUM(J353:M353,O353:P353,R353:AA353)</f>
        <v>54.18</v>
      </c>
      <c r="H353" s="19" t="e">
        <f>IF(ISBLANK(B353),0,+#REF!/B353)</f>
        <v>#REF!</v>
      </c>
      <c r="I353" s="19"/>
      <c r="J353" s="16">
        <f>IF(ISBLANK(B353),0,+J$280)</f>
        <v>54.18</v>
      </c>
      <c r="K353" s="16">
        <f>ROUND(K352*K$280,2)</f>
        <v>0</v>
      </c>
      <c r="L353" s="16">
        <f>ROUND(L352*L$280,2)</f>
        <v>0</v>
      </c>
      <c r="M353" s="16">
        <f>ROUND(M352*M$280,2)</f>
        <v>0</v>
      </c>
      <c r="N353" s="16">
        <f>SUM(K353:M353)</f>
        <v>0</v>
      </c>
      <c r="O353" s="16"/>
      <c r="P353" s="16"/>
      <c r="Q353" s="16"/>
      <c r="R353" s="8"/>
      <c r="S353" s="17">
        <f>ROUND($B353*S$280*S352,2)</f>
        <v>0</v>
      </c>
      <c r="T353" s="17">
        <f>ROUND($B353*T$280,2)</f>
        <v>0</v>
      </c>
      <c r="U353" s="17">
        <f>ROUND($B353*U$280,2)</f>
        <v>0</v>
      </c>
      <c r="V353" s="17">
        <f>ROUND($B353*V$278,2)</f>
        <v>0</v>
      </c>
      <c r="W353" s="17">
        <f>ROUND($B353*W$280,2)</f>
        <v>0</v>
      </c>
      <c r="X353" s="17">
        <f>ROUND($B353*X$280,2)</f>
        <v>0</v>
      </c>
      <c r="Y353" s="17">
        <f>ROUND($B353*Y$280,2)</f>
        <v>0</v>
      </c>
      <c r="Z353" s="17">
        <f>ROUND($B353*Z$280,2)</f>
        <v>0</v>
      </c>
      <c r="AA353" s="17">
        <f>ROUND($B353*AA$280,2)</f>
        <v>0</v>
      </c>
      <c r="AB353" s="19">
        <f>SUM(U348:AA348)</f>
        <v>0</v>
      </c>
      <c r="AC353" s="78" t="str">
        <f>+F353</f>
        <v>SE2</v>
      </c>
    </row>
    <row r="354" spans="1:29" ht="13" x14ac:dyDescent="0.3">
      <c r="A354" s="57"/>
      <c r="B354" s="111">
        <v>-1</v>
      </c>
      <c r="C354" s="111"/>
      <c r="D354" s="2"/>
      <c r="F354" s="37"/>
      <c r="G354" s="17"/>
      <c r="H354" s="19"/>
      <c r="I354" s="19"/>
      <c r="J354" s="16"/>
      <c r="K354" s="16"/>
      <c r="L354" s="16"/>
      <c r="M354" s="16"/>
      <c r="N354" s="16"/>
      <c r="O354" s="16"/>
      <c r="P354" s="16"/>
      <c r="Q354" s="16"/>
      <c r="R354" s="8"/>
      <c r="S354" s="51">
        <v>1</v>
      </c>
      <c r="T354" s="17"/>
      <c r="U354" s="17"/>
      <c r="V354" s="17"/>
      <c r="W354" s="17"/>
      <c r="X354" s="17"/>
      <c r="Y354" s="17"/>
      <c r="Z354" s="17"/>
      <c r="AA354" s="17"/>
      <c r="AB354" s="19"/>
      <c r="AC354" s="78"/>
    </row>
    <row r="355" spans="1:29" ht="13" x14ac:dyDescent="0.3">
      <c r="A355" s="1" t="s">
        <v>73</v>
      </c>
      <c r="B355" s="111">
        <f>IF(AND('AES Indiana Sep 23 Bill Calc.'!$D$17="SE",'AES Indiana Sep 23 Bill Calc.'!$D$18="Yes 100%",'AES Indiana Sep 23 Bill Calc.'!$D$20="Yes 2023"),'AES Indiana Sep 23 Bill Calc.'!$D$19,-1)</f>
        <v>-1</v>
      </c>
      <c r="C355" s="111" t="b">
        <f>IF(AND('AES Indiana Sep 23 Bill Calc.'!$D$17="SE",'AES Indiana Sep 23 Bill Calc.'!$D$18="Yes 100%",'AES Indiana Sep 23 Bill Calc.'!$D$20="Yes 2022"),'AES Indiana Sep 23 Bill Calc.'!$D$23)</f>
        <v>0</v>
      </c>
      <c r="D355" s="2">
        <f>ROUND(C355*D$280,0)</f>
        <v>0</v>
      </c>
      <c r="F355" s="37" t="s">
        <v>296</v>
      </c>
      <c r="G355" s="17">
        <f>SUM(J355:M355,O355:P355,R355:AA355)</f>
        <v>54.18</v>
      </c>
      <c r="H355" s="19" t="e">
        <f>IF(ISBLANK(B355),0,+#REF!/B355)</f>
        <v>#REF!</v>
      </c>
      <c r="I355" s="19"/>
      <c r="J355" s="16">
        <f>IF(ISBLANK(B355),0,+J$280)</f>
        <v>54.18</v>
      </c>
      <c r="K355" s="16">
        <f>ROUND(K354*K$280,2)</f>
        <v>0</v>
      </c>
      <c r="L355" s="16">
        <f>ROUND(L354*L$280,2)</f>
        <v>0</v>
      </c>
      <c r="M355" s="16">
        <f>ROUND(M354*M$280,2)</f>
        <v>0</v>
      </c>
      <c r="N355" s="16">
        <f>SUM(K355:M355)</f>
        <v>0</v>
      </c>
      <c r="O355" s="16"/>
      <c r="P355" s="16"/>
      <c r="Q355" s="16"/>
      <c r="R355" s="8"/>
      <c r="S355" s="17">
        <f>ROUND($B355*S$280*S354,2)</f>
        <v>0</v>
      </c>
      <c r="T355" s="17">
        <f>ROUND($B355*T$280,2)</f>
        <v>0</v>
      </c>
      <c r="U355" s="17">
        <f>ROUND($B355*U$280,2)</f>
        <v>0</v>
      </c>
      <c r="V355" s="17">
        <f>ROUND($B355*V$279,2)</f>
        <v>0</v>
      </c>
      <c r="W355" s="17">
        <f>ROUND($B355*W$280,2)</f>
        <v>0</v>
      </c>
      <c r="X355" s="17">
        <f>ROUND($B355*X$280,2)</f>
        <v>0</v>
      </c>
      <c r="Y355" s="17">
        <f>ROUND($B355*Y$280,2)</f>
        <v>0</v>
      </c>
      <c r="Z355" s="17">
        <f>ROUND($B355*Z$280,2)</f>
        <v>0</v>
      </c>
      <c r="AA355" s="17">
        <f>ROUND($B355*AA$280,2)</f>
        <v>0</v>
      </c>
      <c r="AB355" s="19">
        <f>SUM(U350:AA350)</f>
        <v>0</v>
      </c>
      <c r="AC355" s="78" t="str">
        <f>+F355</f>
        <v>SE3</v>
      </c>
    </row>
    <row r="356" spans="1:29" x14ac:dyDescent="0.25">
      <c r="A356" s="9"/>
      <c r="B356" s="111">
        <v>-1</v>
      </c>
      <c r="C356" s="35"/>
      <c r="F356" s="12"/>
      <c r="G356" s="12"/>
      <c r="H356" s="12"/>
      <c r="I356" s="19"/>
      <c r="J356" s="12"/>
      <c r="K356" s="36">
        <f>IF(D357&gt;K$281,+K$281,D357)</f>
        <v>0</v>
      </c>
      <c r="L356" s="36">
        <f>IF(D357&gt;K356,+D357-K356,0)</f>
        <v>0</v>
      </c>
      <c r="M356" s="35">
        <f>IF(B357&gt;D357,+B357-D357,0)</f>
        <v>0</v>
      </c>
      <c r="N356" s="35"/>
      <c r="O356" s="35"/>
      <c r="P356" s="35"/>
      <c r="Q356" s="35"/>
      <c r="R356" s="12"/>
      <c r="S356" s="51">
        <v>0.5</v>
      </c>
      <c r="T356" s="12"/>
      <c r="U356" s="12"/>
      <c r="V356" s="12"/>
      <c r="W356" s="12"/>
      <c r="X356" s="12"/>
      <c r="Y356" s="12"/>
      <c r="Z356" s="12"/>
      <c r="AA356" s="12"/>
    </row>
    <row r="357" spans="1:29" ht="13" x14ac:dyDescent="0.3">
      <c r="A357" s="57" t="s">
        <v>171</v>
      </c>
      <c r="B357" s="111">
        <f>IF(AND('AES Indiana Sep 23 Bill Calc.'!$D$17="SE",'AES Indiana Sep 23 Bill Calc.'!$D$18="Yes 50%",'AES Indiana Sep 23 Bill Calc.'!$D$20="Yes 2023"),'AES Indiana Sep 23 Bill Calc.'!$D$19,-1)</f>
        <v>-1</v>
      </c>
      <c r="C357" s="111" t="b">
        <f>IF(AND('AES Indiana Sep 23 Bill Calc.'!$D$17="SE",'AES Indiana Sep 23 Bill Calc.'!$D$18="Yes 50%",'AES Indiana Sep 23 Bill Calc.'!$D$20="Yes 2022"),'AES Indiana Sep 23 Bill Calc.'!$D$23)</f>
        <v>0</v>
      </c>
      <c r="D357" s="2">
        <f>ROUND(C357*D$280,0)</f>
        <v>0</v>
      </c>
      <c r="F357" s="37" t="s">
        <v>296</v>
      </c>
      <c r="G357" s="17">
        <f>SUM(J357:M357,O357:P357,R357:AA357)</f>
        <v>54.18</v>
      </c>
      <c r="H357" s="19" t="e">
        <f>IF(ISBLANK(B357),0,+#REF!/B357)</f>
        <v>#REF!</v>
      </c>
      <c r="I357" s="19"/>
      <c r="J357" s="16">
        <f>IF(ISBLANK(B357),0,+J$280)</f>
        <v>54.18</v>
      </c>
      <c r="K357" s="16">
        <f>ROUND(K356*K$280,2)</f>
        <v>0</v>
      </c>
      <c r="L357" s="16">
        <f>ROUND(L356*L$280,2)</f>
        <v>0</v>
      </c>
      <c r="M357" s="16">
        <f>ROUND(M356*M$280,2)</f>
        <v>0</v>
      </c>
      <c r="N357" s="16">
        <f>SUM(K357:M357)</f>
        <v>0</v>
      </c>
      <c r="O357" s="16"/>
      <c r="P357" s="16"/>
      <c r="Q357" s="16"/>
      <c r="R357" s="8"/>
      <c r="S357" s="17">
        <f>ROUND($B357*S$280*S356,2)</f>
        <v>0</v>
      </c>
      <c r="T357" s="17">
        <f>ROUND($B357*T$280,2)</f>
        <v>0</v>
      </c>
      <c r="U357" s="17">
        <f>ROUND($B357*U$280,2)</f>
        <v>0</v>
      </c>
      <c r="V357" s="17">
        <f>ROUND($B357*V$279,2)</f>
        <v>0</v>
      </c>
      <c r="W357" s="17">
        <f>ROUND($B357*W$280,2)</f>
        <v>0</v>
      </c>
      <c r="X357" s="17">
        <f>ROUND($B357*X$280,2)</f>
        <v>0</v>
      </c>
      <c r="Y357" s="17">
        <f>ROUND($B357*Y$280,2)</f>
        <v>0</v>
      </c>
      <c r="Z357" s="17">
        <f>ROUND($B357*Z$280,2)</f>
        <v>0</v>
      </c>
      <c r="AA357" s="17">
        <f>ROUND($B357*AA$280,2)</f>
        <v>0</v>
      </c>
      <c r="AB357" s="19">
        <f>SUM(U352:AA352)</f>
        <v>0</v>
      </c>
      <c r="AC357" s="78" t="str">
        <f>+F357</f>
        <v>SE3</v>
      </c>
    </row>
    <row r="358" spans="1:29" x14ac:dyDescent="0.25">
      <c r="A358" s="9"/>
      <c r="B358" s="111">
        <v>-1</v>
      </c>
      <c r="C358" s="35"/>
      <c r="F358" s="12"/>
      <c r="G358" s="12"/>
      <c r="H358" s="12"/>
      <c r="I358" s="19"/>
      <c r="J358" s="12"/>
      <c r="K358" s="36">
        <f>IF(D359&gt;K$281,+K$281,D359)</f>
        <v>0</v>
      </c>
      <c r="L358" s="36">
        <f>IF(D359&gt;K358,+D359-K358,0)</f>
        <v>0</v>
      </c>
      <c r="M358" s="35">
        <f>IF(B359&gt;D359,+B359-D359,0)</f>
        <v>0</v>
      </c>
      <c r="N358" s="35"/>
      <c r="O358" s="35"/>
      <c r="P358" s="35"/>
      <c r="Q358" s="35"/>
      <c r="R358" s="12"/>
      <c r="S358" s="51">
        <v>0.25</v>
      </c>
      <c r="T358" s="12"/>
      <c r="U358" s="12"/>
      <c r="V358" s="12"/>
      <c r="W358" s="12"/>
      <c r="X358" s="12"/>
      <c r="Y358" s="12"/>
      <c r="Z358" s="12"/>
      <c r="AA358" s="12"/>
    </row>
    <row r="359" spans="1:29" ht="13" x14ac:dyDescent="0.3">
      <c r="A359" s="57" t="s">
        <v>158</v>
      </c>
      <c r="B359" s="111">
        <f>IF(AND('AES Indiana Sep 23 Bill Calc.'!$D$17="SE",'AES Indiana Sep 23 Bill Calc.'!$D$18="Yes 25%",'AES Indiana Sep 23 Bill Calc.'!$D$20="Yes 2023"),'AES Indiana Sep 23 Bill Calc.'!$D$19,-1)</f>
        <v>-1</v>
      </c>
      <c r="C359" s="111" t="b">
        <f>IF(AND('AES Indiana Sep 23 Bill Calc.'!$D$17="SE",'AES Indiana Sep 23 Bill Calc.'!$D$18="Yes 25%",'AES Indiana Sep 23 Bill Calc.'!$D$20="Yes 2022"),'AES Indiana Sep 23 Bill Calc.'!$D$23)</f>
        <v>0</v>
      </c>
      <c r="D359" s="2">
        <f>ROUND(C359*D$280,0)</f>
        <v>0</v>
      </c>
      <c r="F359" s="37" t="s">
        <v>296</v>
      </c>
      <c r="G359" s="17">
        <f>SUM(J359:M359,O359:P359,R359:AA359)</f>
        <v>54.18</v>
      </c>
      <c r="H359" s="19" t="e">
        <f>IF(ISBLANK(B359),0,+#REF!/B359)</f>
        <v>#REF!</v>
      </c>
      <c r="I359" s="19"/>
      <c r="J359" s="16">
        <f>IF(ISBLANK(B359),0,+J$280)</f>
        <v>54.18</v>
      </c>
      <c r="K359" s="16">
        <f>ROUND(K358*K$280,2)</f>
        <v>0</v>
      </c>
      <c r="L359" s="16">
        <f>ROUND(L358*L$280,2)</f>
        <v>0</v>
      </c>
      <c r="M359" s="16">
        <f>ROUND(M358*M$280,2)</f>
        <v>0</v>
      </c>
      <c r="N359" s="16">
        <f>SUM(K359:M359)</f>
        <v>0</v>
      </c>
      <c r="O359" s="16"/>
      <c r="P359" s="16"/>
      <c r="Q359" s="16"/>
      <c r="R359" s="8"/>
      <c r="S359" s="17">
        <f>ROUND($B359*S$280*S358,2)</f>
        <v>0</v>
      </c>
      <c r="T359" s="17">
        <f>ROUND($B359*T$280,2)</f>
        <v>0</v>
      </c>
      <c r="U359" s="17">
        <f>ROUND($B359*U$280,2)</f>
        <v>0</v>
      </c>
      <c r="V359" s="17">
        <f>ROUND($B359*V$279,2)</f>
        <v>0</v>
      </c>
      <c r="W359" s="17">
        <f>ROUND($B359*W$280,2)</f>
        <v>0</v>
      </c>
      <c r="X359" s="17">
        <f>ROUND($B359*X$280,2)</f>
        <v>0</v>
      </c>
      <c r="Y359" s="17">
        <f>ROUND($B359*Y$280,2)</f>
        <v>0</v>
      </c>
      <c r="Z359" s="17">
        <f>ROUND($B359*Z$280,2)</f>
        <v>0</v>
      </c>
      <c r="AA359" s="17">
        <f>ROUND($B359*AA$280,2)</f>
        <v>0</v>
      </c>
      <c r="AB359" s="19">
        <f>SUM(U354:AA354)</f>
        <v>0</v>
      </c>
      <c r="AC359" s="78" t="str">
        <f>+F359</f>
        <v>SE3</v>
      </c>
    </row>
    <row r="360" spans="1:29" x14ac:dyDescent="0.25">
      <c r="A360" s="9"/>
      <c r="B360" s="111">
        <v>-1</v>
      </c>
      <c r="C360" s="35"/>
      <c r="F360" s="12"/>
      <c r="G360" s="12"/>
      <c r="H360" s="12"/>
      <c r="I360" s="19"/>
      <c r="J360" s="12"/>
      <c r="K360" s="36">
        <f>IF(D361&gt;K$281,+K$281,D361)</f>
        <v>0</v>
      </c>
      <c r="L360" s="36">
        <f>IF(D361&gt;K360,+D361-K360,0)</f>
        <v>0</v>
      </c>
      <c r="M360" s="35">
        <f>IF(B361&gt;D361,+B361-D361,0)</f>
        <v>0</v>
      </c>
      <c r="N360" s="35"/>
      <c r="O360" s="35"/>
      <c r="P360" s="35"/>
      <c r="Q360" s="35"/>
      <c r="R360" s="12"/>
      <c r="S360" s="51">
        <v>0.1</v>
      </c>
      <c r="T360" s="12"/>
      <c r="U360" s="12"/>
      <c r="V360" s="12"/>
      <c r="W360" s="12"/>
      <c r="X360" s="12"/>
      <c r="Y360" s="12"/>
      <c r="Z360" s="12"/>
      <c r="AA360" s="12"/>
    </row>
    <row r="361" spans="1:29" ht="13" x14ac:dyDescent="0.3">
      <c r="A361" s="57" t="s">
        <v>173</v>
      </c>
      <c r="B361" s="111">
        <f>IF(AND('AES Indiana Sep 23 Bill Calc.'!$D$17="SE",'AES Indiana Sep 23 Bill Calc.'!$D$18="Yes 10%",'AES Indiana Sep 23 Bill Calc.'!$D$20="Yes 2023"),'AES Indiana Sep 23 Bill Calc.'!$D$19,-1)</f>
        <v>-1</v>
      </c>
      <c r="C361" s="111" t="b">
        <f>IF(AND('AES Indiana Sep 23 Bill Calc.'!$D$17="SE",'AES Indiana Sep 23 Bill Calc.'!$D$18="Yes 10%",'AES Indiana Sep 23 Bill Calc.'!$D$20="Yes 2022"),'AES Indiana Sep 23 Bill Calc.'!$D$23)</f>
        <v>0</v>
      </c>
      <c r="D361" s="2">
        <f>ROUND(C361*D$280,0)</f>
        <v>0</v>
      </c>
      <c r="F361" s="37" t="s">
        <v>296</v>
      </c>
      <c r="G361" s="17">
        <f>SUM(J361:M361,O361:P361,R361:AA361)</f>
        <v>54.18</v>
      </c>
      <c r="H361" s="19" t="e">
        <f>IF(ISBLANK(B361),0,+#REF!/B361)</f>
        <v>#REF!</v>
      </c>
      <c r="I361" s="19"/>
      <c r="J361" s="16">
        <f>IF(ISBLANK(B361),0,+J$280)</f>
        <v>54.18</v>
      </c>
      <c r="K361" s="16">
        <f>ROUND(K360*K$280,2)</f>
        <v>0</v>
      </c>
      <c r="L361" s="16">
        <f>ROUND(L360*L$280,2)</f>
        <v>0</v>
      </c>
      <c r="M361" s="16">
        <f>ROUND(M360*M$280,2)</f>
        <v>0</v>
      </c>
      <c r="N361" s="16">
        <f>SUM(K361:M361)</f>
        <v>0</v>
      </c>
      <c r="O361" s="16"/>
      <c r="P361" s="16"/>
      <c r="Q361" s="16"/>
      <c r="R361" s="8"/>
      <c r="S361" s="17">
        <f>ROUND($B361*S$280*S360,2)</f>
        <v>0</v>
      </c>
      <c r="T361" s="17">
        <f>ROUND($B361*T$280,2)</f>
        <v>0</v>
      </c>
      <c r="U361" s="17">
        <f>ROUND($B361*U$280,2)</f>
        <v>0</v>
      </c>
      <c r="V361" s="17">
        <f>ROUND($B361*V$279,2)</f>
        <v>0</v>
      </c>
      <c r="W361" s="17">
        <f>ROUND($B361*W$280,2)</f>
        <v>0</v>
      </c>
      <c r="X361" s="17">
        <f>ROUND($B361*X$280,2)</f>
        <v>0</v>
      </c>
      <c r="Y361" s="17">
        <f>ROUND($B361*Y$280,2)</f>
        <v>0</v>
      </c>
      <c r="Z361" s="17">
        <f>ROUND($B361*Z$280,2)</f>
        <v>0</v>
      </c>
      <c r="AA361" s="17">
        <f>ROUND($B361*AA$280,2)</f>
        <v>0</v>
      </c>
      <c r="AB361" s="19">
        <f>SUM(U356:AA356)</f>
        <v>0</v>
      </c>
      <c r="AC361" s="78" t="str">
        <f>+F361</f>
        <v>SE3</v>
      </c>
    </row>
    <row r="362" spans="1:29" x14ac:dyDescent="0.25">
      <c r="A362" s="9"/>
      <c r="B362" s="111">
        <v>-1</v>
      </c>
      <c r="C362" s="35"/>
      <c r="F362" s="12"/>
      <c r="G362" s="12"/>
      <c r="H362" s="12"/>
      <c r="I362" s="19"/>
      <c r="J362" s="12"/>
      <c r="K362" s="36">
        <f>IF(D363&gt;K$281,+K$281,D363)</f>
        <v>0</v>
      </c>
      <c r="L362" s="36">
        <f>IF(D363&gt;K362,+D363-K362,0)</f>
        <v>0</v>
      </c>
      <c r="M362" s="35">
        <f>IF(B363&gt;D363,+B363-D363,0)</f>
        <v>0</v>
      </c>
      <c r="N362" s="35"/>
      <c r="O362" s="35"/>
      <c r="P362" s="35"/>
      <c r="Q362" s="35"/>
      <c r="R362" s="12"/>
      <c r="S362" s="51">
        <v>0</v>
      </c>
      <c r="T362" s="12"/>
      <c r="U362" s="12"/>
      <c r="V362" s="12"/>
      <c r="W362" s="12"/>
      <c r="X362" s="12"/>
      <c r="Y362" s="12"/>
      <c r="Z362" s="12"/>
      <c r="AA362" s="12"/>
    </row>
    <row r="363" spans="1:29" ht="13" x14ac:dyDescent="0.3">
      <c r="A363" s="57" t="s">
        <v>172</v>
      </c>
      <c r="B363" s="111">
        <f>IF(AND('AES Indiana Sep 23 Bill Calc.'!$D$17="SE",'AES Indiana Sep 23 Bill Calc.'!$D$18="No",'AES Indiana Sep 23 Bill Calc.'!$D$20="Yes 2023"),'AES Indiana Sep 23 Bill Calc.'!$D$19,-1)</f>
        <v>-1</v>
      </c>
      <c r="C363" s="111" t="b">
        <f>IF(AND('AES Indiana Sep 23 Bill Calc.'!$D$17="SE",'AES Indiana Sep 23 Bill Calc.'!$D$18="No",'AES Indiana Sep 23 Bill Calc.'!$D$20="Yes 2022"),'AES Indiana Sep 23 Bill Calc.'!$D$23)</f>
        <v>0</v>
      </c>
      <c r="D363" s="2">
        <f>ROUND(C363*D$280,0)</f>
        <v>0</v>
      </c>
      <c r="F363" s="37" t="s">
        <v>296</v>
      </c>
      <c r="G363" s="17">
        <f>SUM(J363:M363,O363:P363,R363:AA363)</f>
        <v>54.18</v>
      </c>
      <c r="H363" s="19" t="e">
        <f>IF(ISBLANK(B363),0,+#REF!/B363)</f>
        <v>#REF!</v>
      </c>
      <c r="I363" s="19"/>
      <c r="J363" s="16">
        <f>IF(ISBLANK(B363),0,+J$280)</f>
        <v>54.18</v>
      </c>
      <c r="K363" s="16">
        <f>ROUND(K362*K$280,2)</f>
        <v>0</v>
      </c>
      <c r="L363" s="16">
        <f>ROUND(L362*L$280,2)</f>
        <v>0</v>
      </c>
      <c r="M363" s="16">
        <f>ROUND(M362*M$280,2)</f>
        <v>0</v>
      </c>
      <c r="N363" s="16">
        <f>SUM(K363:M363)</f>
        <v>0</v>
      </c>
      <c r="O363" s="16"/>
      <c r="P363" s="16"/>
      <c r="Q363" s="16"/>
      <c r="R363" s="8"/>
      <c r="S363" s="17">
        <f>ROUND($B363*S$280*S362,2)</f>
        <v>0</v>
      </c>
      <c r="T363" s="17">
        <f>ROUND($B363*T$280,2)</f>
        <v>0</v>
      </c>
      <c r="U363" s="17">
        <f>ROUND($B363*U$280,2)</f>
        <v>0</v>
      </c>
      <c r="V363" s="17">
        <f>ROUND($B363*V$279,2)</f>
        <v>0</v>
      </c>
      <c r="W363" s="17">
        <f>ROUND($B363*W$280,2)</f>
        <v>0</v>
      </c>
      <c r="X363" s="17">
        <f>ROUND($B363*X$280,2)</f>
        <v>0</v>
      </c>
      <c r="Y363" s="17">
        <f>ROUND($B363*Y$280,2)</f>
        <v>0</v>
      </c>
      <c r="Z363" s="17">
        <f>ROUND($B363*Z$280,2)</f>
        <v>0</v>
      </c>
      <c r="AA363" s="17">
        <f>ROUND($B363*AA$280,2)</f>
        <v>0</v>
      </c>
      <c r="AB363" s="19">
        <f>SUM(U358:AA358)</f>
        <v>0</v>
      </c>
      <c r="AC363" s="78" t="str">
        <f>+F363</f>
        <v>SE3</v>
      </c>
    </row>
    <row r="364" spans="1:29" ht="13" x14ac:dyDescent="0.3">
      <c r="A364" s="57"/>
      <c r="B364" s="111">
        <v>-1</v>
      </c>
      <c r="C364" s="111"/>
      <c r="D364" s="2"/>
      <c r="F364" s="37"/>
      <c r="G364" s="17"/>
      <c r="H364" s="19"/>
      <c r="I364" s="19"/>
      <c r="J364" s="16"/>
      <c r="K364" s="16"/>
      <c r="L364" s="16"/>
      <c r="M364" s="16"/>
      <c r="N364" s="16"/>
      <c r="O364" s="16"/>
      <c r="P364" s="16"/>
      <c r="Q364" s="16"/>
      <c r="R364" s="8"/>
      <c r="S364" s="17"/>
      <c r="T364" s="17"/>
      <c r="U364" s="17"/>
      <c r="V364" s="17"/>
      <c r="W364" s="17"/>
      <c r="X364" s="17"/>
      <c r="Y364" s="17"/>
      <c r="Z364" s="17"/>
      <c r="AA364" s="17"/>
      <c r="AB364" s="19"/>
      <c r="AC364" s="78"/>
    </row>
    <row r="365" spans="1:29" ht="13" x14ac:dyDescent="0.3">
      <c r="A365" s="57"/>
      <c r="B365" s="111">
        <v>-1</v>
      </c>
      <c r="C365" s="111"/>
      <c r="D365" s="2"/>
      <c r="F365" s="37"/>
      <c r="G365" s="17"/>
      <c r="H365" s="19"/>
      <c r="I365" s="19"/>
      <c r="J365" s="16"/>
      <c r="K365" s="16"/>
      <c r="L365" s="16"/>
      <c r="M365" s="16"/>
      <c r="N365" s="16"/>
      <c r="O365" s="16"/>
      <c r="P365" s="16"/>
      <c r="Q365" s="16"/>
      <c r="R365" s="8"/>
      <c r="S365" s="17"/>
      <c r="T365" s="17"/>
      <c r="U365" s="17"/>
      <c r="V365" s="17"/>
      <c r="W365" s="17"/>
      <c r="X365" s="17"/>
      <c r="Y365" s="17"/>
      <c r="Z365" s="17"/>
      <c r="AA365" s="17"/>
      <c r="AB365" s="19"/>
      <c r="AC365" s="78"/>
    </row>
    <row r="366" spans="1:29" x14ac:dyDescent="0.25">
      <c r="B366" s="111">
        <v>-1</v>
      </c>
      <c r="H366" s="19"/>
      <c r="I366" s="19"/>
      <c r="J366" s="8"/>
      <c r="K366" s="17"/>
      <c r="L366" s="8"/>
      <c r="M366" s="8"/>
      <c r="N366" s="8"/>
      <c r="O366" s="8"/>
      <c r="P366" s="8"/>
      <c r="Q366" s="8"/>
      <c r="R366" s="8"/>
      <c r="S366" s="17"/>
      <c r="T366" s="17"/>
      <c r="U366" s="17"/>
      <c r="V366" s="17"/>
      <c r="W366" s="17"/>
      <c r="X366" s="17"/>
      <c r="Y366" s="17"/>
      <c r="Z366" s="17"/>
      <c r="AA366" s="17"/>
    </row>
    <row r="367" spans="1:29" x14ac:dyDescent="0.25">
      <c r="B367" s="111">
        <v>-1</v>
      </c>
      <c r="C367" s="4"/>
      <c r="I367" s="19"/>
      <c r="J367" s="91">
        <v>18.22</v>
      </c>
      <c r="K367" s="93">
        <v>5.3587000000000003E-2</v>
      </c>
      <c r="L367" s="5"/>
      <c r="M367" s="5"/>
      <c r="N367" s="5"/>
      <c r="O367" s="5"/>
      <c r="P367" s="5"/>
      <c r="Q367" s="5"/>
      <c r="R367" s="5"/>
      <c r="S367" s="27">
        <f>+M$3</f>
        <v>3.0000000000000001E-3</v>
      </c>
      <c r="T367" s="27">
        <f t="shared" ref="T367:AA367" si="27">+R$3</f>
        <v>-3.1020000000000002E-3</v>
      </c>
      <c r="U367" s="27">
        <f>$S$3</f>
        <v>3.5140000000000002E-3</v>
      </c>
      <c r="V367" s="27">
        <f t="shared" si="27"/>
        <v>4.5189999999999996E-3</v>
      </c>
      <c r="W367" s="27">
        <f t="shared" si="27"/>
        <v>0</v>
      </c>
      <c r="X367" s="27">
        <f t="shared" si="27"/>
        <v>7.2300000000000001E-4</v>
      </c>
      <c r="Y367" s="27">
        <f t="shared" si="27"/>
        <v>1.8860000000000001E-3</v>
      </c>
      <c r="Z367" s="27">
        <f t="shared" si="27"/>
        <v>-1.346E-3</v>
      </c>
      <c r="AA367" s="27">
        <f t="shared" si="27"/>
        <v>2.7799999999999998E-4</v>
      </c>
      <c r="AB367" s="19">
        <f>SUM(U367:Z367)</f>
        <v>9.2960000000000004E-3</v>
      </c>
    </row>
    <row r="368" spans="1:29" x14ac:dyDescent="0.25">
      <c r="A368" s="1"/>
      <c r="B368" s="111">
        <v>-1</v>
      </c>
      <c r="I368" s="19"/>
      <c r="J368" s="91"/>
      <c r="K368" s="92">
        <v>999999</v>
      </c>
    </row>
    <row r="369" spans="1:29" x14ac:dyDescent="0.25">
      <c r="B369" s="111">
        <v>-1</v>
      </c>
      <c r="F369" s="12"/>
      <c r="I369" s="19"/>
      <c r="J369" s="12" t="s">
        <v>1</v>
      </c>
      <c r="K369" s="256" t="s">
        <v>2</v>
      </c>
      <c r="L369" s="256"/>
      <c r="M369" s="12"/>
      <c r="N369" s="12"/>
      <c r="O369" s="12"/>
      <c r="P369" s="12"/>
      <c r="Q369" s="73" t="s">
        <v>175</v>
      </c>
      <c r="R369" s="12"/>
      <c r="S369" s="12">
        <v>21</v>
      </c>
      <c r="T369" s="12">
        <v>6</v>
      </c>
      <c r="U369" s="12">
        <v>3</v>
      </c>
      <c r="V369" s="12">
        <v>22</v>
      </c>
      <c r="W369" s="12">
        <v>13</v>
      </c>
      <c r="X369" s="12">
        <v>20</v>
      </c>
      <c r="Y369" s="12">
        <v>24</v>
      </c>
      <c r="Z369" s="12">
        <v>25</v>
      </c>
      <c r="AA369" s="12">
        <v>26</v>
      </c>
    </row>
    <row r="370" spans="1:29" x14ac:dyDescent="0.25">
      <c r="A370" s="13"/>
      <c r="B370" s="14">
        <v>-1</v>
      </c>
      <c r="C370" s="14" t="s">
        <v>19</v>
      </c>
      <c r="D370" s="15"/>
      <c r="F370" s="13" t="s">
        <v>4</v>
      </c>
      <c r="G370" s="13" t="s">
        <v>12</v>
      </c>
      <c r="H370" s="13" t="s">
        <v>13</v>
      </c>
      <c r="I370" s="19"/>
      <c r="J370" s="13" t="s">
        <v>5</v>
      </c>
      <c r="K370" s="13" t="s">
        <v>23</v>
      </c>
      <c r="L370" s="13"/>
      <c r="M370" s="13"/>
      <c r="N370" s="73" t="s">
        <v>176</v>
      </c>
      <c r="O370" s="13"/>
      <c r="P370" s="13"/>
      <c r="Q370" s="13"/>
      <c r="R370" s="13"/>
      <c r="S370" s="13" t="s">
        <v>70</v>
      </c>
      <c r="T370" s="13" t="s">
        <v>9</v>
      </c>
      <c r="U370" s="80" t="s">
        <v>161</v>
      </c>
      <c r="V370" s="13" t="s">
        <v>79</v>
      </c>
      <c r="W370" s="13" t="s">
        <v>10</v>
      </c>
      <c r="X370" s="13" t="s">
        <v>11</v>
      </c>
      <c r="Y370" s="80" t="s">
        <v>104</v>
      </c>
      <c r="Z370" s="80" t="s">
        <v>105</v>
      </c>
      <c r="AA370" s="80" t="s">
        <v>106</v>
      </c>
      <c r="AB370" s="77" t="s">
        <v>71</v>
      </c>
    </row>
    <row r="371" spans="1:29" x14ac:dyDescent="0.25">
      <c r="B371" s="111">
        <v>-1</v>
      </c>
      <c r="C371" s="35"/>
      <c r="F371" s="12"/>
      <c r="G371" s="12"/>
      <c r="H371" s="12"/>
      <c r="I371" s="19"/>
      <c r="J371" s="12"/>
      <c r="K371" s="12"/>
      <c r="L371" s="12"/>
      <c r="M371" s="12"/>
      <c r="N371" s="12"/>
      <c r="O371" s="12"/>
      <c r="P371" s="12"/>
      <c r="Q371" s="12"/>
      <c r="R371" s="12"/>
      <c r="S371" s="51">
        <v>1</v>
      </c>
      <c r="T371" s="12"/>
      <c r="U371" s="12"/>
      <c r="V371" s="12"/>
      <c r="W371" s="12"/>
      <c r="X371" s="12"/>
      <c r="Y371" s="12"/>
      <c r="Z371" s="12"/>
      <c r="AA371" s="12"/>
    </row>
    <row r="372" spans="1:29" ht="13" x14ac:dyDescent="0.3">
      <c r="A372" s="1" t="s">
        <v>73</v>
      </c>
      <c r="B372" s="111">
        <f>IF(AND('AES Indiana Sep 23 Bill Calc.'!$D$17="CR",'AES Indiana Sep 23 Bill Calc.'!$D$18="Yes 100%"),'AES Indiana Sep 23 Bill Calc.'!$D$19,-1)</f>
        <v>-1</v>
      </c>
      <c r="C372" s="9"/>
      <c r="F372" s="37" t="s">
        <v>46</v>
      </c>
      <c r="G372" s="17">
        <f>SUM(J372:M372,O372:P372,R372:AA372)</f>
        <v>18.169999999999998</v>
      </c>
      <c r="H372" s="19" t="e">
        <f>IF(ISBLANK(B372),0,+#REF!/B372)</f>
        <v>#REF!</v>
      </c>
      <c r="I372" s="19"/>
      <c r="J372" s="16">
        <f>IF(ISBLANK(B372),0,+J$367)</f>
        <v>18.22</v>
      </c>
      <c r="K372" s="16">
        <f>ROUND($B372*K$367,2)</f>
        <v>-0.05</v>
      </c>
      <c r="L372" s="16"/>
      <c r="M372" s="8"/>
      <c r="N372" s="8">
        <f>SUM(K372:L372)</f>
        <v>-0.05</v>
      </c>
      <c r="O372" s="8"/>
      <c r="P372" s="8"/>
      <c r="Q372" s="8"/>
      <c r="R372" s="8"/>
      <c r="S372" s="17">
        <f>ROUND($B372*S$367*S371,2)</f>
        <v>0</v>
      </c>
      <c r="T372" s="17">
        <f t="shared" ref="T372:AA380" si="28">ROUND($B372*T$367,2)</f>
        <v>0</v>
      </c>
      <c r="U372" s="17">
        <f t="shared" si="28"/>
        <v>0</v>
      </c>
      <c r="V372" s="17">
        <f t="shared" si="28"/>
        <v>0</v>
      </c>
      <c r="W372" s="17">
        <f t="shared" si="28"/>
        <v>0</v>
      </c>
      <c r="X372" s="17">
        <f t="shared" si="28"/>
        <v>0</v>
      </c>
      <c r="Y372" s="17">
        <f t="shared" si="28"/>
        <v>0</v>
      </c>
      <c r="Z372" s="17">
        <f t="shared" si="28"/>
        <v>0</v>
      </c>
      <c r="AA372" s="17">
        <f t="shared" si="28"/>
        <v>0</v>
      </c>
      <c r="AB372" s="19">
        <f>SUM(U367:AA367)</f>
        <v>9.5740000000000009E-3</v>
      </c>
      <c r="AC372" s="78" t="str">
        <f>+F372</f>
        <v>CR</v>
      </c>
    </row>
    <row r="373" spans="1:29" x14ac:dyDescent="0.25">
      <c r="A373" s="9"/>
      <c r="B373" s="111">
        <v>-1</v>
      </c>
      <c r="C373" s="35"/>
      <c r="F373" s="12"/>
      <c r="G373" s="12"/>
      <c r="H373" s="12"/>
      <c r="I373" s="19"/>
      <c r="J373" s="12"/>
      <c r="K373" s="12"/>
      <c r="L373" s="12"/>
      <c r="M373" s="12"/>
      <c r="N373" s="12"/>
      <c r="O373" s="12"/>
      <c r="P373" s="12"/>
      <c r="Q373" s="12"/>
      <c r="R373" s="12"/>
      <c r="S373" s="51">
        <v>0.5</v>
      </c>
      <c r="T373" s="12"/>
      <c r="U373" s="12"/>
      <c r="V373" s="12"/>
      <c r="W373" s="12"/>
      <c r="X373" s="12"/>
      <c r="Y373" s="12"/>
      <c r="Z373" s="12"/>
      <c r="AA373" s="12"/>
    </row>
    <row r="374" spans="1:29" ht="13" x14ac:dyDescent="0.3">
      <c r="A374" s="57" t="s">
        <v>171</v>
      </c>
      <c r="B374" s="111">
        <f>IF(AND('AES Indiana Sep 23 Bill Calc.'!$D$17="CR",'AES Indiana Sep 23 Bill Calc.'!$D$18="Yes 50%"),'AES Indiana Sep 23 Bill Calc.'!$D$19,-1)</f>
        <v>-1</v>
      </c>
      <c r="C374" s="9"/>
      <c r="F374" s="37" t="s">
        <v>46</v>
      </c>
      <c r="G374" s="17">
        <f>SUM(J374:M374,O374:P374,R374:AA374)</f>
        <v>18.169999999999998</v>
      </c>
      <c r="H374" s="19" t="e">
        <f>IF(ISBLANK(B374),0,+#REF!/B374)</f>
        <v>#REF!</v>
      </c>
      <c r="I374" s="19"/>
      <c r="J374" s="16">
        <f>IF(ISBLANK(B374),0,+J$367)</f>
        <v>18.22</v>
      </c>
      <c r="K374" s="16">
        <f>ROUND($B374*K$367,2)</f>
        <v>-0.05</v>
      </c>
      <c r="L374" s="16"/>
      <c r="M374" s="8"/>
      <c r="N374" s="8">
        <f>SUM(K374:L374)</f>
        <v>-0.05</v>
      </c>
      <c r="O374" s="8"/>
      <c r="P374" s="8"/>
      <c r="Q374" s="8"/>
      <c r="R374" s="8"/>
      <c r="S374" s="17">
        <f>ROUND($B374*S$367*S373,2)</f>
        <v>0</v>
      </c>
      <c r="T374" s="17">
        <f t="shared" si="28"/>
        <v>0</v>
      </c>
      <c r="U374" s="17">
        <f t="shared" si="28"/>
        <v>0</v>
      </c>
      <c r="V374" s="17">
        <f t="shared" si="28"/>
        <v>0</v>
      </c>
      <c r="W374" s="17">
        <f t="shared" si="28"/>
        <v>0</v>
      </c>
      <c r="X374" s="17">
        <f t="shared" si="28"/>
        <v>0</v>
      </c>
      <c r="Y374" s="17">
        <f t="shared" si="28"/>
        <v>0</v>
      </c>
      <c r="Z374" s="17">
        <f t="shared" si="28"/>
        <v>0</v>
      </c>
      <c r="AA374" s="17">
        <f t="shared" si="28"/>
        <v>0</v>
      </c>
      <c r="AB374" s="19">
        <f>SUM(U369:AA369)</f>
        <v>133</v>
      </c>
      <c r="AC374" s="78" t="str">
        <f>+F374</f>
        <v>CR</v>
      </c>
    </row>
    <row r="375" spans="1:29" x14ac:dyDescent="0.25">
      <c r="A375" s="9"/>
      <c r="B375" s="111">
        <v>-1</v>
      </c>
      <c r="C375" s="35"/>
      <c r="F375" s="12"/>
      <c r="G375" s="12"/>
      <c r="H375" s="12"/>
      <c r="I375" s="19"/>
      <c r="J375" s="12"/>
      <c r="K375" s="12"/>
      <c r="L375" s="12"/>
      <c r="M375" s="12"/>
      <c r="N375" s="12"/>
      <c r="O375" s="12"/>
      <c r="P375" s="12"/>
      <c r="Q375" s="12"/>
      <c r="R375" s="12"/>
      <c r="S375" s="51">
        <v>0.25</v>
      </c>
      <c r="T375" s="12"/>
      <c r="U375" s="12"/>
      <c r="V375" s="12"/>
      <c r="W375" s="12"/>
      <c r="X375" s="12"/>
      <c r="Y375" s="12"/>
      <c r="Z375" s="12"/>
      <c r="AA375" s="12"/>
    </row>
    <row r="376" spans="1:29" ht="13" x14ac:dyDescent="0.3">
      <c r="A376" s="57" t="s">
        <v>158</v>
      </c>
      <c r="B376" s="111">
        <f>IF(AND('AES Indiana Sep 23 Bill Calc.'!$D$17="CR",'AES Indiana Sep 23 Bill Calc.'!$D$18="Yes 25%"),'AES Indiana Sep 23 Bill Calc.'!$D$19,-1)</f>
        <v>-1</v>
      </c>
      <c r="C376" s="9"/>
      <c r="F376" s="37" t="s">
        <v>46</v>
      </c>
      <c r="G376" s="17">
        <f>SUM(J376:M376,O376:P376,R376:AA376)</f>
        <v>18.169999999999998</v>
      </c>
      <c r="H376" s="19" t="e">
        <f>IF(ISBLANK(B376),0,+#REF!/B376)</f>
        <v>#REF!</v>
      </c>
      <c r="I376" s="19"/>
      <c r="J376" s="16">
        <f>IF(ISBLANK(B376),0,+J$367)</f>
        <v>18.22</v>
      </c>
      <c r="K376" s="16">
        <f>ROUND($B376*K$367,2)</f>
        <v>-0.05</v>
      </c>
      <c r="L376" s="16"/>
      <c r="M376" s="8"/>
      <c r="N376" s="8">
        <f>SUM(K376:L376)</f>
        <v>-0.05</v>
      </c>
      <c r="O376" s="8"/>
      <c r="P376" s="8"/>
      <c r="Q376" s="8"/>
      <c r="R376" s="8"/>
      <c r="S376" s="17">
        <f>ROUND($B376*S$367*S375,2)</f>
        <v>0</v>
      </c>
      <c r="T376" s="17">
        <f t="shared" si="28"/>
        <v>0</v>
      </c>
      <c r="U376" s="17">
        <f t="shared" si="28"/>
        <v>0</v>
      </c>
      <c r="V376" s="17">
        <f t="shared" si="28"/>
        <v>0</v>
      </c>
      <c r="W376" s="17">
        <f t="shared" si="28"/>
        <v>0</v>
      </c>
      <c r="X376" s="17">
        <f t="shared" si="28"/>
        <v>0</v>
      </c>
      <c r="Y376" s="17">
        <f t="shared" si="28"/>
        <v>0</v>
      </c>
      <c r="Z376" s="17">
        <f t="shared" si="28"/>
        <v>0</v>
      </c>
      <c r="AA376" s="17">
        <f t="shared" si="28"/>
        <v>0</v>
      </c>
      <c r="AB376" s="19">
        <f>SUM(U371:AA371)</f>
        <v>0</v>
      </c>
      <c r="AC376" s="78" t="str">
        <f>+F376</f>
        <v>CR</v>
      </c>
    </row>
    <row r="377" spans="1:29" x14ac:dyDescent="0.25">
      <c r="A377" s="57"/>
      <c r="B377" s="111">
        <v>-1</v>
      </c>
      <c r="C377" s="35"/>
      <c r="F377" s="12"/>
      <c r="G377" s="12"/>
      <c r="H377" s="12"/>
      <c r="I377" s="19"/>
      <c r="J377" s="12"/>
      <c r="K377" s="12"/>
      <c r="L377" s="12"/>
      <c r="M377" s="12"/>
      <c r="N377" s="12"/>
      <c r="O377" s="12"/>
      <c r="P377" s="12"/>
      <c r="Q377" s="12"/>
      <c r="R377" s="12"/>
      <c r="S377" s="51">
        <v>0.1</v>
      </c>
      <c r="T377" s="12"/>
      <c r="U377" s="12"/>
      <c r="V377" s="12"/>
      <c r="W377" s="12"/>
      <c r="X377" s="12"/>
      <c r="Y377" s="12"/>
      <c r="Z377" s="12"/>
      <c r="AA377" s="12"/>
    </row>
    <row r="378" spans="1:29" ht="13" x14ac:dyDescent="0.3">
      <c r="A378" s="1" t="s">
        <v>173</v>
      </c>
      <c r="B378" s="111">
        <f>IF(AND('AES Indiana Sep 23 Bill Calc.'!$D$17="CR",'AES Indiana Sep 23 Bill Calc.'!$D$18="Yes 10%"),'AES Indiana Sep 23 Bill Calc.'!$D$19,-1)</f>
        <v>-1</v>
      </c>
      <c r="C378" s="9"/>
      <c r="F378" s="37" t="s">
        <v>46</v>
      </c>
      <c r="G378" s="17">
        <f>SUM(J378:M378,O378:P378,R378:AA378)</f>
        <v>18.169999999999998</v>
      </c>
      <c r="H378" s="19" t="e">
        <f>IF(ISBLANK(B378),0,+#REF!/B378)</f>
        <v>#REF!</v>
      </c>
      <c r="I378" s="19"/>
      <c r="J378" s="16">
        <f>IF(ISBLANK(B378),0,+J$367)</f>
        <v>18.22</v>
      </c>
      <c r="K378" s="16">
        <f>ROUND($B378*K$367,2)</f>
        <v>-0.05</v>
      </c>
      <c r="L378" s="16"/>
      <c r="M378" s="8"/>
      <c r="N378" s="8">
        <f>SUM(K378:L378)</f>
        <v>-0.05</v>
      </c>
      <c r="O378" s="8"/>
      <c r="P378" s="8"/>
      <c r="Q378" s="8"/>
      <c r="R378" s="8"/>
      <c r="S378" s="17">
        <f>ROUND($B378*S$367*S377,2)</f>
        <v>0</v>
      </c>
      <c r="T378" s="17">
        <f t="shared" si="28"/>
        <v>0</v>
      </c>
      <c r="U378" s="17">
        <f t="shared" si="28"/>
        <v>0</v>
      </c>
      <c r="V378" s="17">
        <f t="shared" si="28"/>
        <v>0</v>
      </c>
      <c r="W378" s="17">
        <f t="shared" si="28"/>
        <v>0</v>
      </c>
      <c r="X378" s="17">
        <f t="shared" si="28"/>
        <v>0</v>
      </c>
      <c r="Y378" s="17">
        <f t="shared" si="28"/>
        <v>0</v>
      </c>
      <c r="Z378" s="17">
        <f t="shared" si="28"/>
        <v>0</v>
      </c>
      <c r="AA378" s="17">
        <f t="shared" si="28"/>
        <v>0</v>
      </c>
      <c r="AB378" s="19">
        <f>SUM(U373:AA373)</f>
        <v>0</v>
      </c>
      <c r="AC378" s="78" t="str">
        <f>+F378</f>
        <v>CR</v>
      </c>
    </row>
    <row r="379" spans="1:29" x14ac:dyDescent="0.25">
      <c r="A379" s="9"/>
      <c r="B379" s="111">
        <v>-1</v>
      </c>
      <c r="C379" s="35"/>
      <c r="F379" s="12"/>
      <c r="G379" s="12"/>
      <c r="H379" s="12"/>
      <c r="I379" s="19"/>
      <c r="J379" s="12"/>
      <c r="K379" s="12"/>
      <c r="L379" s="12"/>
      <c r="M379" s="12"/>
      <c r="N379" s="12"/>
      <c r="O379" s="12"/>
      <c r="P379" s="12"/>
      <c r="Q379" s="12"/>
      <c r="R379" s="12"/>
      <c r="S379" s="51">
        <v>0</v>
      </c>
      <c r="T379" s="12"/>
      <c r="U379" s="12"/>
      <c r="V379" s="12"/>
      <c r="W379" s="12"/>
      <c r="X379" s="12"/>
      <c r="Y379" s="12"/>
      <c r="Z379" s="12"/>
      <c r="AA379" s="12"/>
    </row>
    <row r="380" spans="1:29" ht="13" x14ac:dyDescent="0.3">
      <c r="A380" s="57" t="s">
        <v>172</v>
      </c>
      <c r="B380" s="111">
        <f>IF(AND('AES Indiana Sep 23 Bill Calc.'!$D$17="CR",'AES Indiana Sep 23 Bill Calc.'!$D$18="No"),'AES Indiana Sep 23 Bill Calc.'!$D$19,-1)</f>
        <v>-1</v>
      </c>
      <c r="C380" s="9"/>
      <c r="F380" s="37" t="s">
        <v>46</v>
      </c>
      <c r="G380" s="17">
        <f>SUM(J380:M380,O380:P380,R380:AA380)</f>
        <v>18.169999999999998</v>
      </c>
      <c r="H380" s="19" t="e">
        <f>IF(ISBLANK(B380),0,+#REF!/B380)</f>
        <v>#REF!</v>
      </c>
      <c r="I380" s="19"/>
      <c r="J380" s="16">
        <f>IF(ISBLANK(B380),0,+J$367)</f>
        <v>18.22</v>
      </c>
      <c r="K380" s="16">
        <f>ROUND($B380*K$367,2)</f>
        <v>-0.05</v>
      </c>
      <c r="L380" s="16"/>
      <c r="M380" s="8"/>
      <c r="N380" s="8">
        <f>SUM(K380:L380)</f>
        <v>-0.05</v>
      </c>
      <c r="O380" s="8"/>
      <c r="P380" s="8"/>
      <c r="Q380" s="8"/>
      <c r="R380" s="8"/>
      <c r="S380" s="17">
        <f>ROUND($B380*S$367*S379,2)</f>
        <v>0</v>
      </c>
      <c r="T380" s="17">
        <f t="shared" si="28"/>
        <v>0</v>
      </c>
      <c r="U380" s="17">
        <f t="shared" si="28"/>
        <v>0</v>
      </c>
      <c r="V380" s="17">
        <f t="shared" si="28"/>
        <v>0</v>
      </c>
      <c r="W380" s="17">
        <f t="shared" si="28"/>
        <v>0</v>
      </c>
      <c r="X380" s="17">
        <f t="shared" si="28"/>
        <v>0</v>
      </c>
      <c r="Y380" s="17">
        <f t="shared" si="28"/>
        <v>0</v>
      </c>
      <c r="Z380" s="17">
        <f t="shared" si="28"/>
        <v>0</v>
      </c>
      <c r="AA380" s="17">
        <f t="shared" si="28"/>
        <v>0</v>
      </c>
      <c r="AB380" s="19">
        <f>SUM(U375:AA375)</f>
        <v>0</v>
      </c>
      <c r="AC380" s="78" t="str">
        <f>+F380</f>
        <v>CR</v>
      </c>
    </row>
    <row r="381" spans="1:29" ht="13" x14ac:dyDescent="0.3">
      <c r="A381" s="56"/>
      <c r="B381" s="111">
        <v>-1</v>
      </c>
      <c r="C381" s="9"/>
      <c r="F381" s="37"/>
      <c r="G381" s="17"/>
      <c r="H381" s="19"/>
      <c r="I381" s="19"/>
      <c r="J381" s="16"/>
      <c r="K381" s="16"/>
      <c r="L381" s="16"/>
      <c r="M381" s="8"/>
      <c r="N381" s="8"/>
      <c r="O381" s="8"/>
      <c r="P381" s="8"/>
      <c r="Q381" s="8"/>
      <c r="R381" s="8"/>
      <c r="S381" s="17"/>
      <c r="T381" s="17"/>
      <c r="U381" s="17"/>
      <c r="V381" s="17"/>
      <c r="W381" s="17"/>
      <c r="X381" s="17"/>
      <c r="Y381" s="17"/>
      <c r="Z381" s="17"/>
      <c r="AA381" s="17"/>
      <c r="AB381" s="19"/>
      <c r="AC381" s="78"/>
    </row>
    <row r="382" spans="1:29" ht="13" x14ac:dyDescent="0.3">
      <c r="A382" s="56"/>
      <c r="B382" s="111">
        <v>-1</v>
      </c>
      <c r="C382" s="9"/>
      <c r="F382" s="37"/>
      <c r="G382" s="17"/>
      <c r="H382" s="19"/>
      <c r="I382" s="19"/>
      <c r="J382" s="16"/>
      <c r="K382" s="16"/>
      <c r="L382" s="16"/>
      <c r="M382" s="8"/>
      <c r="N382" s="8"/>
      <c r="O382" s="8"/>
      <c r="P382" s="8"/>
      <c r="Q382" s="8"/>
      <c r="R382" s="8"/>
      <c r="S382" s="17"/>
      <c r="T382" s="17"/>
      <c r="U382" s="17"/>
      <c r="V382" s="17"/>
      <c r="W382" s="17"/>
      <c r="X382" s="17"/>
      <c r="Y382" s="17"/>
      <c r="Z382" s="17"/>
      <c r="AA382" s="17"/>
      <c r="AB382" s="19"/>
      <c r="AC382" s="78"/>
    </row>
    <row r="383" spans="1:29" x14ac:dyDescent="0.25">
      <c r="B383" s="111">
        <v>-1</v>
      </c>
      <c r="G383" s="17"/>
      <c r="H383" s="19"/>
      <c r="I383" s="19"/>
      <c r="J383" s="8"/>
      <c r="K383" s="17"/>
      <c r="L383" s="8"/>
      <c r="M383" s="8"/>
      <c r="N383" s="8"/>
      <c r="O383" s="8"/>
      <c r="P383" s="8"/>
      <c r="Q383" s="8"/>
      <c r="R383" s="8"/>
      <c r="S383" s="17"/>
      <c r="T383" s="17"/>
      <c r="U383" s="17"/>
      <c r="V383" s="17"/>
      <c r="W383" s="17"/>
      <c r="X383" s="17"/>
      <c r="Y383" s="17"/>
      <c r="Z383" s="17"/>
      <c r="AA383" s="17"/>
    </row>
    <row r="384" spans="1:29" x14ac:dyDescent="0.25">
      <c r="B384" s="111">
        <v>-1</v>
      </c>
      <c r="H384" s="19"/>
      <c r="I384" s="19"/>
      <c r="J384" s="8"/>
      <c r="K384" s="17"/>
      <c r="L384" s="8"/>
      <c r="M384" s="8"/>
      <c r="N384" s="8"/>
      <c r="O384" s="8"/>
      <c r="P384" s="8"/>
      <c r="Q384" s="8"/>
      <c r="R384" s="8"/>
      <c r="S384" s="17"/>
      <c r="T384" s="17"/>
      <c r="U384" s="17"/>
      <c r="V384" s="17"/>
      <c r="W384" s="17"/>
      <c r="X384" s="17"/>
      <c r="Y384" s="17"/>
      <c r="Z384" s="17"/>
      <c r="AA384" s="17"/>
    </row>
    <row r="385" spans="1:29" x14ac:dyDescent="0.25">
      <c r="B385" s="111">
        <v>-1</v>
      </c>
      <c r="C385" s="4"/>
      <c r="I385" s="19"/>
      <c r="J385" s="91">
        <v>18.22</v>
      </c>
      <c r="K385" s="93">
        <v>5.3587000000000003E-2</v>
      </c>
      <c r="L385" s="5">
        <v>0</v>
      </c>
      <c r="M385" s="5"/>
      <c r="N385" s="5"/>
      <c r="O385" s="5"/>
      <c r="P385" s="5"/>
      <c r="Q385" s="5"/>
      <c r="R385" s="5"/>
      <c r="S385" s="27">
        <f>+M$4</f>
        <v>3.0000000000000001E-3</v>
      </c>
      <c r="T385" s="27">
        <f t="shared" ref="T385:AA385" si="29">+R$4</f>
        <v>-3.1020000000000002E-3</v>
      </c>
      <c r="U385" s="27">
        <f>+S$4</f>
        <v>3.0219999999999999E-3</v>
      </c>
      <c r="V385" s="27">
        <f t="shared" si="29"/>
        <v>7.5160000000000001E-3</v>
      </c>
      <c r="W385" s="27">
        <f t="shared" si="29"/>
        <v>0</v>
      </c>
      <c r="X385" s="27">
        <f t="shared" si="29"/>
        <v>6.9700000000000003E-4</v>
      </c>
      <c r="Y385" s="27">
        <f t="shared" si="29"/>
        <v>1.807E-3</v>
      </c>
      <c r="Z385" s="27">
        <f t="shared" si="29"/>
        <v>-1.258E-3</v>
      </c>
      <c r="AA385" s="27">
        <f t="shared" si="29"/>
        <v>2.7999999999999998E-4</v>
      </c>
      <c r="AB385" s="19">
        <f>SUM(U385:Z385)</f>
        <v>1.1783999999999999E-2</v>
      </c>
    </row>
    <row r="386" spans="1:29" ht="13" x14ac:dyDescent="0.3">
      <c r="A386" s="1"/>
      <c r="B386" s="111">
        <v>-1</v>
      </c>
      <c r="C386" s="38"/>
      <c r="I386" s="19"/>
      <c r="J386" s="84"/>
      <c r="K386" s="85">
        <v>999999</v>
      </c>
    </row>
    <row r="387" spans="1:29" x14ac:dyDescent="0.25">
      <c r="B387" s="111">
        <v>-1</v>
      </c>
      <c r="F387" s="12"/>
      <c r="I387" s="19"/>
      <c r="J387" s="12" t="s">
        <v>1</v>
      </c>
      <c r="K387" s="256" t="s">
        <v>2</v>
      </c>
      <c r="L387" s="256"/>
      <c r="M387" s="12"/>
      <c r="N387" s="12"/>
      <c r="O387" s="12"/>
      <c r="P387" s="12"/>
      <c r="Q387" s="73" t="s">
        <v>175</v>
      </c>
      <c r="R387" s="12"/>
      <c r="S387" s="12">
        <v>21</v>
      </c>
      <c r="T387" s="12">
        <v>6</v>
      </c>
      <c r="U387" s="12">
        <v>3</v>
      </c>
      <c r="V387" s="12">
        <v>22</v>
      </c>
      <c r="W387" s="12">
        <v>13</v>
      </c>
      <c r="X387" s="12">
        <v>20</v>
      </c>
      <c r="Y387" s="12">
        <v>24</v>
      </c>
      <c r="Z387" s="12">
        <v>25</v>
      </c>
      <c r="AA387" s="12">
        <v>26</v>
      </c>
    </row>
    <row r="388" spans="1:29" x14ac:dyDescent="0.25">
      <c r="A388" s="13"/>
      <c r="B388" s="111">
        <v>-1</v>
      </c>
      <c r="C388" s="14" t="s">
        <v>19</v>
      </c>
      <c r="D388" s="15"/>
      <c r="F388" s="13" t="s">
        <v>4</v>
      </c>
      <c r="G388" s="13" t="s">
        <v>12</v>
      </c>
      <c r="H388" s="13" t="s">
        <v>13</v>
      </c>
      <c r="I388" s="19"/>
      <c r="J388" s="13" t="s">
        <v>5</v>
      </c>
      <c r="K388" s="13" t="s">
        <v>23</v>
      </c>
      <c r="L388" s="13"/>
      <c r="M388" s="13"/>
      <c r="N388" s="73" t="s">
        <v>176</v>
      </c>
      <c r="O388" s="13"/>
      <c r="P388" s="13"/>
      <c r="Q388" s="13"/>
      <c r="R388" s="13"/>
      <c r="S388" s="13" t="s">
        <v>70</v>
      </c>
      <c r="T388" s="13" t="s">
        <v>9</v>
      </c>
      <c r="U388" s="80" t="s">
        <v>161</v>
      </c>
      <c r="V388" s="13" t="s">
        <v>79</v>
      </c>
      <c r="W388" s="13" t="s">
        <v>10</v>
      </c>
      <c r="X388" s="13" t="s">
        <v>11</v>
      </c>
      <c r="Y388" s="80" t="s">
        <v>104</v>
      </c>
      <c r="Z388" s="80" t="s">
        <v>105</v>
      </c>
      <c r="AA388" s="80" t="s">
        <v>106</v>
      </c>
      <c r="AB388" s="77" t="s">
        <v>71</v>
      </c>
    </row>
    <row r="389" spans="1:29" x14ac:dyDescent="0.25">
      <c r="B389" s="111">
        <v>-1</v>
      </c>
      <c r="C389" s="35"/>
      <c r="F389" s="12"/>
      <c r="G389" s="12"/>
      <c r="H389" s="12"/>
      <c r="I389" s="19"/>
      <c r="J389" s="12"/>
      <c r="K389" s="12"/>
      <c r="L389" s="12"/>
      <c r="M389" s="12"/>
      <c r="N389" s="12"/>
      <c r="O389" s="12"/>
      <c r="P389" s="12"/>
      <c r="Q389" s="12"/>
      <c r="R389" s="12"/>
      <c r="S389" s="51">
        <v>1</v>
      </c>
      <c r="T389" s="12"/>
      <c r="U389" s="12"/>
      <c r="V389" s="12"/>
      <c r="W389" s="12"/>
      <c r="X389" s="12"/>
      <c r="Y389" s="12"/>
      <c r="Z389" s="12"/>
      <c r="AA389" s="12"/>
    </row>
    <row r="390" spans="1:29" ht="13" x14ac:dyDescent="0.3">
      <c r="A390" s="56"/>
      <c r="B390" s="111">
        <f>IF(AND('AES Indiana Sep 23 Bill Calc.'!$D$17="CB",'AES Indiana Sep 23 Bill Calc.'!$D$18="Yes 100%"),'AES Indiana Sep 23 Bill Calc.'!$D$19,-1)</f>
        <v>-1</v>
      </c>
      <c r="C390" s="1" t="s">
        <v>73</v>
      </c>
      <c r="F390" s="37" t="s">
        <v>47</v>
      </c>
      <c r="G390" s="17">
        <f>SUM(J390:M390,O390:P390,R390:AA390)</f>
        <v>18.159999999999997</v>
      </c>
      <c r="H390" s="19" t="e">
        <f>IF(ISBLANK(B390),0,+#REF!/B390)</f>
        <v>#REF!</v>
      </c>
      <c r="I390" s="19"/>
      <c r="J390" s="16">
        <f>IF(ISBLANK(B390),0,+J$385)</f>
        <v>18.22</v>
      </c>
      <c r="K390" s="16">
        <f>ROUND($B390*K$385,2)</f>
        <v>-0.05</v>
      </c>
      <c r="L390" s="16">
        <f>IF($B390&gt;K$186,ROUND(($B390-K$186)*L$385,2),0)</f>
        <v>0</v>
      </c>
      <c r="M390" s="8"/>
      <c r="N390" s="8">
        <f>SUM(K390:L390)</f>
        <v>-0.05</v>
      </c>
      <c r="O390" s="8"/>
      <c r="P390" s="8"/>
      <c r="Q390" s="8"/>
      <c r="R390" s="8"/>
      <c r="S390" s="17">
        <f>ROUND($B390*S$385*S389,2)</f>
        <v>0</v>
      </c>
      <c r="T390" s="17">
        <f t="shared" ref="T390:AA398" si="30">ROUND($B390*T$385,2)</f>
        <v>0</v>
      </c>
      <c r="U390" s="17">
        <f t="shared" si="30"/>
        <v>0</v>
      </c>
      <c r="V390" s="17">
        <f t="shared" si="30"/>
        <v>-0.01</v>
      </c>
      <c r="W390" s="17">
        <f t="shared" si="30"/>
        <v>0</v>
      </c>
      <c r="X390" s="17">
        <f t="shared" si="30"/>
        <v>0</v>
      </c>
      <c r="Y390" s="17">
        <f t="shared" si="30"/>
        <v>0</v>
      </c>
      <c r="Z390" s="17">
        <f t="shared" si="30"/>
        <v>0</v>
      </c>
      <c r="AA390" s="17">
        <f t="shared" si="30"/>
        <v>0</v>
      </c>
      <c r="AB390" s="19">
        <f>SUM(U385:AA385)</f>
        <v>1.2064E-2</v>
      </c>
      <c r="AC390" s="78" t="str">
        <f>+F390</f>
        <v>CB</v>
      </c>
    </row>
    <row r="391" spans="1:29" x14ac:dyDescent="0.25">
      <c r="B391" s="111">
        <v>-1</v>
      </c>
      <c r="C391" s="9"/>
      <c r="F391" s="12"/>
      <c r="G391" s="12"/>
      <c r="H391" s="12"/>
      <c r="I391" s="19"/>
      <c r="J391" s="12"/>
      <c r="K391" s="12"/>
      <c r="L391" s="12"/>
      <c r="M391" s="12"/>
      <c r="N391" s="12"/>
      <c r="O391" s="12"/>
      <c r="P391" s="12"/>
      <c r="Q391" s="12"/>
      <c r="R391" s="12"/>
      <c r="S391" s="51">
        <v>0.5</v>
      </c>
      <c r="T391" s="12"/>
      <c r="U391" s="12"/>
      <c r="V391" s="12"/>
      <c r="W391" s="12"/>
      <c r="X391" s="12"/>
      <c r="Y391" s="12"/>
      <c r="Z391" s="12"/>
      <c r="AA391" s="12"/>
    </row>
    <row r="392" spans="1:29" ht="13" x14ac:dyDescent="0.3">
      <c r="A392" s="56"/>
      <c r="B392" s="111">
        <f>IF(AND('AES Indiana Sep 23 Bill Calc.'!$D$17="CB",'AES Indiana Sep 23 Bill Calc.'!$D$18="Yes 50%"),'AES Indiana Sep 23 Bill Calc.'!$D$19,-1)</f>
        <v>-1</v>
      </c>
      <c r="C392" s="57" t="s">
        <v>171</v>
      </c>
      <c r="F392" s="37" t="s">
        <v>47</v>
      </c>
      <c r="G392" s="17">
        <f>SUM(J392:M392,O392:P392,R392:AA392)</f>
        <v>18.159999999999997</v>
      </c>
      <c r="H392" s="19" t="e">
        <f>IF(ISBLANK(B392),0,+#REF!/B392)</f>
        <v>#REF!</v>
      </c>
      <c r="I392" s="19"/>
      <c r="J392" s="16">
        <f>IF(ISBLANK(B392),0,+J$385)</f>
        <v>18.22</v>
      </c>
      <c r="K392" s="16">
        <f>ROUND($B392*K$385,2)</f>
        <v>-0.05</v>
      </c>
      <c r="L392" s="16">
        <f>IF($B392&gt;K$186,ROUND(($B392-K$186)*L$385,2),0)</f>
        <v>0</v>
      </c>
      <c r="M392" s="8"/>
      <c r="N392" s="8">
        <f>SUM(K392:L392)</f>
        <v>-0.05</v>
      </c>
      <c r="O392" s="8"/>
      <c r="P392" s="8"/>
      <c r="Q392" s="8"/>
      <c r="R392" s="8"/>
      <c r="S392" s="17">
        <f>ROUND($B392*S$385*S391,2)</f>
        <v>0</v>
      </c>
      <c r="T392" s="17">
        <f t="shared" si="30"/>
        <v>0</v>
      </c>
      <c r="U392" s="17">
        <f t="shared" si="30"/>
        <v>0</v>
      </c>
      <c r="V392" s="17">
        <f t="shared" si="30"/>
        <v>-0.01</v>
      </c>
      <c r="W392" s="17">
        <f t="shared" si="30"/>
        <v>0</v>
      </c>
      <c r="X392" s="17">
        <f t="shared" si="30"/>
        <v>0</v>
      </c>
      <c r="Y392" s="17">
        <f t="shared" si="30"/>
        <v>0</v>
      </c>
      <c r="Z392" s="17">
        <f t="shared" si="30"/>
        <v>0</v>
      </c>
      <c r="AA392" s="17">
        <f t="shared" si="30"/>
        <v>0</v>
      </c>
      <c r="AB392" s="19">
        <f>SUM(U387:AA387)</f>
        <v>133</v>
      </c>
      <c r="AC392" s="78" t="str">
        <f>+F392</f>
        <v>CB</v>
      </c>
    </row>
    <row r="393" spans="1:29" x14ac:dyDescent="0.25">
      <c r="B393" s="111">
        <v>-1</v>
      </c>
      <c r="C393" s="9"/>
      <c r="F393" s="12"/>
      <c r="G393" s="12"/>
      <c r="H393" s="12"/>
      <c r="I393" s="19"/>
      <c r="J393" s="12"/>
      <c r="K393" s="12"/>
      <c r="L393" s="12"/>
      <c r="M393" s="12"/>
      <c r="N393" s="12"/>
      <c r="O393" s="12"/>
      <c r="P393" s="12"/>
      <c r="Q393" s="12"/>
      <c r="R393" s="12"/>
      <c r="S393" s="51">
        <v>0.25</v>
      </c>
      <c r="T393" s="12"/>
      <c r="U393" s="12"/>
      <c r="V393" s="12"/>
      <c r="W393" s="12"/>
      <c r="X393" s="12"/>
      <c r="Y393" s="12"/>
      <c r="Z393" s="12"/>
      <c r="AA393" s="12"/>
    </row>
    <row r="394" spans="1:29" ht="13" x14ac:dyDescent="0.3">
      <c r="A394" s="56"/>
      <c r="B394" s="111">
        <f>IF(AND('AES Indiana Sep 23 Bill Calc.'!$D$17="CB",'AES Indiana Sep 23 Bill Calc.'!$D$18="Yes 25%"),'AES Indiana Sep 23 Bill Calc.'!$D$19,-1)</f>
        <v>-1</v>
      </c>
      <c r="C394" s="57" t="s">
        <v>158</v>
      </c>
      <c r="F394" s="37" t="s">
        <v>47</v>
      </c>
      <c r="G394" s="17">
        <f>SUM(J394:M394,O394:P394,R394:AA394)</f>
        <v>18.159999999999997</v>
      </c>
      <c r="H394" s="19" t="e">
        <f>IF(ISBLANK(B394),0,+#REF!/B394)</f>
        <v>#REF!</v>
      </c>
      <c r="I394" s="19"/>
      <c r="J394" s="16">
        <f>IF(ISBLANK(B394),0,+J$385)</f>
        <v>18.22</v>
      </c>
      <c r="K394" s="16">
        <f>ROUND($B394*K$385,2)</f>
        <v>-0.05</v>
      </c>
      <c r="L394" s="16">
        <f>IF($B394&gt;K$186,ROUND(($B394-K$186)*L$385,2),0)</f>
        <v>0</v>
      </c>
      <c r="M394" s="8"/>
      <c r="N394" s="8">
        <f>SUM(K394:L394)</f>
        <v>-0.05</v>
      </c>
      <c r="O394" s="8"/>
      <c r="P394" s="8"/>
      <c r="Q394" s="8"/>
      <c r="R394" s="8"/>
      <c r="S394" s="17">
        <f>ROUND($B394*S$385*S393,2)</f>
        <v>0</v>
      </c>
      <c r="T394" s="17">
        <f t="shared" si="30"/>
        <v>0</v>
      </c>
      <c r="U394" s="17">
        <f t="shared" si="30"/>
        <v>0</v>
      </c>
      <c r="V394" s="17">
        <f t="shared" si="30"/>
        <v>-0.01</v>
      </c>
      <c r="W394" s="17">
        <f t="shared" si="30"/>
        <v>0</v>
      </c>
      <c r="X394" s="17">
        <f t="shared" si="30"/>
        <v>0</v>
      </c>
      <c r="Y394" s="17">
        <f t="shared" si="30"/>
        <v>0</v>
      </c>
      <c r="Z394" s="17">
        <f t="shared" si="30"/>
        <v>0</v>
      </c>
      <c r="AA394" s="17">
        <f t="shared" si="30"/>
        <v>0</v>
      </c>
      <c r="AB394" s="19">
        <f>SUM(U389:AA389)</f>
        <v>0</v>
      </c>
      <c r="AC394" s="78" t="str">
        <f>+F394</f>
        <v>CB</v>
      </c>
    </row>
    <row r="395" spans="1:29" x14ac:dyDescent="0.25">
      <c r="B395" s="111">
        <v>-1</v>
      </c>
      <c r="C395" s="9"/>
      <c r="F395" s="12"/>
      <c r="G395" s="12"/>
      <c r="H395" s="12"/>
      <c r="I395" s="19"/>
      <c r="J395" s="12"/>
      <c r="K395" s="12"/>
      <c r="L395" s="12"/>
      <c r="M395" s="12"/>
      <c r="N395" s="12"/>
      <c r="O395" s="12"/>
      <c r="P395" s="12"/>
      <c r="Q395" s="12"/>
      <c r="R395" s="12"/>
      <c r="S395" s="51">
        <v>0.1</v>
      </c>
      <c r="T395" s="12"/>
      <c r="U395" s="12"/>
      <c r="V395" s="12"/>
      <c r="W395" s="12"/>
      <c r="X395" s="12"/>
      <c r="Y395" s="12"/>
      <c r="Z395" s="12"/>
      <c r="AA395" s="12"/>
    </row>
    <row r="396" spans="1:29" ht="13" x14ac:dyDescent="0.3">
      <c r="A396" s="56"/>
      <c r="B396" s="111">
        <f>IF(AND('AES Indiana Sep 23 Bill Calc.'!$D$17="CB",'AES Indiana Sep 23 Bill Calc.'!$D$18="Yes 10%"),'AES Indiana Sep 23 Bill Calc.'!$D$19,-1)</f>
        <v>-1</v>
      </c>
      <c r="C396" s="57" t="s">
        <v>173</v>
      </c>
      <c r="F396" s="37" t="s">
        <v>47</v>
      </c>
      <c r="G396" s="17">
        <f>SUM(J396:M396,O396:P396,R396:AA396)</f>
        <v>18.159999999999997</v>
      </c>
      <c r="H396" s="19" t="e">
        <f>IF(ISBLANK(B396),0,+#REF!/B396)</f>
        <v>#REF!</v>
      </c>
      <c r="I396" s="19"/>
      <c r="J396" s="16">
        <f>IF(ISBLANK(B396),0,+J$385)</f>
        <v>18.22</v>
      </c>
      <c r="K396" s="16">
        <f>ROUND($B396*K$385,2)</f>
        <v>-0.05</v>
      </c>
      <c r="L396" s="16">
        <f>IF($B396&gt;K$186,ROUND(($B396-K$186)*L$385,2),0)</f>
        <v>0</v>
      </c>
      <c r="M396" s="8"/>
      <c r="N396" s="8">
        <f>SUM(K396:L396)</f>
        <v>-0.05</v>
      </c>
      <c r="O396" s="8"/>
      <c r="P396" s="8"/>
      <c r="Q396" s="8"/>
      <c r="R396" s="8"/>
      <c r="S396" s="17">
        <f>ROUND($B396*S$385*S395,2)</f>
        <v>0</v>
      </c>
      <c r="T396" s="17">
        <f t="shared" si="30"/>
        <v>0</v>
      </c>
      <c r="U396" s="17">
        <f t="shared" si="30"/>
        <v>0</v>
      </c>
      <c r="V396" s="17">
        <f t="shared" si="30"/>
        <v>-0.01</v>
      </c>
      <c r="W396" s="17">
        <f t="shared" si="30"/>
        <v>0</v>
      </c>
      <c r="X396" s="17">
        <f t="shared" si="30"/>
        <v>0</v>
      </c>
      <c r="Y396" s="17">
        <f t="shared" si="30"/>
        <v>0</v>
      </c>
      <c r="Z396" s="17">
        <f t="shared" si="30"/>
        <v>0</v>
      </c>
      <c r="AA396" s="17">
        <f t="shared" si="30"/>
        <v>0</v>
      </c>
      <c r="AB396" s="19">
        <f>SUM(U391:AA391)</f>
        <v>0</v>
      </c>
      <c r="AC396" s="78" t="str">
        <f>+F396</f>
        <v>CB</v>
      </c>
    </row>
    <row r="397" spans="1:29" x14ac:dyDescent="0.25">
      <c r="B397" s="111">
        <v>-1</v>
      </c>
      <c r="C397" s="9"/>
      <c r="F397" s="12"/>
      <c r="G397" s="12"/>
      <c r="H397" s="12"/>
      <c r="I397" s="19"/>
      <c r="J397" s="12"/>
      <c r="K397" s="12"/>
      <c r="L397" s="12"/>
      <c r="M397" s="12"/>
      <c r="N397" s="12"/>
      <c r="O397" s="12"/>
      <c r="P397" s="12"/>
      <c r="Q397" s="12"/>
      <c r="R397" s="12"/>
      <c r="S397" s="51">
        <v>0</v>
      </c>
      <c r="T397" s="12"/>
      <c r="U397" s="12"/>
      <c r="V397" s="12"/>
      <c r="W397" s="12"/>
      <c r="X397" s="12"/>
      <c r="Y397" s="12"/>
      <c r="Z397" s="12"/>
      <c r="AA397" s="12"/>
    </row>
    <row r="398" spans="1:29" ht="13" x14ac:dyDescent="0.3">
      <c r="A398" s="56"/>
      <c r="B398" s="111">
        <f>IF(AND('AES Indiana Sep 23 Bill Calc.'!$D$17="CB",'AES Indiana Sep 23 Bill Calc.'!$D$18="No"),'AES Indiana Sep 23 Bill Calc.'!$D$19,-1)</f>
        <v>-1</v>
      </c>
      <c r="C398" s="57" t="s">
        <v>172</v>
      </c>
      <c r="F398" s="37" t="s">
        <v>47</v>
      </c>
      <c r="G398" s="17">
        <f>SUM(J398:M398,O398:P398,R398:AA398)</f>
        <v>18.159999999999997</v>
      </c>
      <c r="H398" s="19" t="e">
        <f>IF(ISBLANK(B398),0,+#REF!/B398)</f>
        <v>#REF!</v>
      </c>
      <c r="I398" s="19"/>
      <c r="J398" s="16">
        <f>IF(ISBLANK(B398),0,+J$385)</f>
        <v>18.22</v>
      </c>
      <c r="K398" s="16">
        <f>ROUND($B398*K$385,2)</f>
        <v>-0.05</v>
      </c>
      <c r="L398" s="16">
        <f>IF($B398&gt;K$186,ROUND(($B398-K$186)*L$385,2),0)</f>
        <v>0</v>
      </c>
      <c r="M398" s="8"/>
      <c r="N398" s="8">
        <f>SUM(K398:L398)</f>
        <v>-0.05</v>
      </c>
      <c r="O398" s="8"/>
      <c r="P398" s="8"/>
      <c r="Q398" s="8"/>
      <c r="R398" s="8"/>
      <c r="S398" s="17">
        <f>ROUND($B398*S$385*S397,2)</f>
        <v>0</v>
      </c>
      <c r="T398" s="17">
        <f t="shared" si="30"/>
        <v>0</v>
      </c>
      <c r="U398" s="17">
        <f t="shared" si="30"/>
        <v>0</v>
      </c>
      <c r="V398" s="17">
        <f t="shared" si="30"/>
        <v>-0.01</v>
      </c>
      <c r="W398" s="17">
        <f t="shared" si="30"/>
        <v>0</v>
      </c>
      <c r="X398" s="17">
        <f t="shared" si="30"/>
        <v>0</v>
      </c>
      <c r="Y398" s="17">
        <f t="shared" si="30"/>
        <v>0</v>
      </c>
      <c r="Z398" s="17">
        <f t="shared" si="30"/>
        <v>0</v>
      </c>
      <c r="AA398" s="17">
        <f t="shared" si="30"/>
        <v>0</v>
      </c>
      <c r="AB398" s="19">
        <f>SUM(U393:AA393)</f>
        <v>0</v>
      </c>
      <c r="AC398" s="78" t="str">
        <f>+F398</f>
        <v>CB</v>
      </c>
    </row>
    <row r="399" spans="1:29" x14ac:dyDescent="0.25">
      <c r="B399" s="111">
        <v>-1</v>
      </c>
      <c r="C399" s="41"/>
      <c r="G399" s="43"/>
      <c r="H399" s="19"/>
      <c r="I399" s="19"/>
      <c r="J399" s="42"/>
      <c r="K399" s="43"/>
      <c r="L399" s="42"/>
      <c r="M399" s="42"/>
      <c r="N399" s="42"/>
      <c r="O399" s="42"/>
      <c r="P399" s="42"/>
      <c r="Q399" s="42"/>
      <c r="R399" s="42"/>
      <c r="S399" s="43"/>
      <c r="T399" s="43"/>
      <c r="U399" s="43"/>
      <c r="V399" s="43"/>
      <c r="W399" s="43"/>
      <c r="X399" s="43"/>
      <c r="Y399" s="43"/>
      <c r="Z399" s="43"/>
      <c r="AA399" s="43"/>
    </row>
    <row r="400" spans="1:29" x14ac:dyDescent="0.25">
      <c r="B400" s="111">
        <v>-1</v>
      </c>
      <c r="H400" s="19"/>
      <c r="I400" s="19"/>
      <c r="J400" s="8"/>
      <c r="K400" s="17"/>
      <c r="L400" s="8"/>
      <c r="M400" s="8"/>
      <c r="N400" s="8"/>
      <c r="O400" s="8"/>
      <c r="P400" s="8"/>
      <c r="Q400" s="8"/>
      <c r="R400" s="8"/>
      <c r="S400" s="17"/>
      <c r="T400" s="17"/>
      <c r="U400" s="17"/>
      <c r="V400" s="17"/>
      <c r="W400" s="17"/>
      <c r="X400" s="17"/>
      <c r="Y400" s="17"/>
      <c r="Z400" s="17"/>
      <c r="AA400" s="17"/>
    </row>
    <row r="401" spans="1:29" x14ac:dyDescent="0.25">
      <c r="B401" s="111">
        <v>-1</v>
      </c>
      <c r="C401" s="4"/>
      <c r="I401" s="19"/>
      <c r="J401" s="84">
        <v>36.450000000000003</v>
      </c>
      <c r="K401" s="83">
        <v>6.5056000000000003E-2</v>
      </c>
      <c r="L401" s="5">
        <v>0</v>
      </c>
      <c r="M401" s="5"/>
      <c r="N401" s="5"/>
      <c r="O401" s="5"/>
      <c r="P401" s="5"/>
      <c r="Q401" s="5"/>
      <c r="R401" s="5"/>
      <c r="S401" s="27">
        <f>+M$4</f>
        <v>3.0000000000000001E-3</v>
      </c>
      <c r="T401" s="27">
        <f t="shared" ref="T401:AA401" si="31">+R$4</f>
        <v>-3.1020000000000002E-3</v>
      </c>
      <c r="U401" s="27">
        <f>+S$3</f>
        <v>3.5140000000000002E-3</v>
      </c>
      <c r="V401" s="27">
        <f t="shared" si="31"/>
        <v>7.5160000000000001E-3</v>
      </c>
      <c r="W401" s="27">
        <f t="shared" si="31"/>
        <v>0</v>
      </c>
      <c r="X401" s="27">
        <f t="shared" si="31"/>
        <v>6.9700000000000003E-4</v>
      </c>
      <c r="Y401" s="27">
        <f t="shared" si="31"/>
        <v>1.807E-3</v>
      </c>
      <c r="Z401" s="27">
        <f t="shared" si="31"/>
        <v>-1.258E-3</v>
      </c>
      <c r="AA401" s="27">
        <f t="shared" si="31"/>
        <v>2.7999999999999998E-4</v>
      </c>
      <c r="AB401" s="19">
        <f>SUM(U401:Z401)</f>
        <v>1.2275999999999999E-2</v>
      </c>
    </row>
    <row r="402" spans="1:29" ht="13" x14ac:dyDescent="0.3">
      <c r="A402" s="1"/>
      <c r="B402" s="111">
        <v>-1</v>
      </c>
      <c r="C402" s="38"/>
      <c r="I402" s="19"/>
      <c r="J402" s="84"/>
      <c r="K402" s="85">
        <v>999999</v>
      </c>
    </row>
    <row r="403" spans="1:29" x14ac:dyDescent="0.25">
      <c r="B403" s="111">
        <v>-1</v>
      </c>
      <c r="F403" s="12"/>
      <c r="I403" s="19"/>
      <c r="J403" s="12" t="s">
        <v>1</v>
      </c>
      <c r="K403" s="256" t="s">
        <v>2</v>
      </c>
      <c r="L403" s="256"/>
      <c r="M403" s="12"/>
      <c r="N403" s="12"/>
      <c r="O403" s="12"/>
      <c r="P403" s="12"/>
      <c r="Q403" s="73" t="s">
        <v>175</v>
      </c>
      <c r="R403" s="12"/>
      <c r="S403" s="12">
        <v>21</v>
      </c>
      <c r="T403" s="12">
        <v>6</v>
      </c>
      <c r="U403" s="12">
        <v>3</v>
      </c>
      <c r="V403" s="12">
        <v>22</v>
      </c>
      <c r="W403" s="12">
        <v>13</v>
      </c>
      <c r="X403" s="12">
        <v>20</v>
      </c>
      <c r="Y403" s="12">
        <v>24</v>
      </c>
      <c r="Z403" s="12">
        <v>25</v>
      </c>
      <c r="AA403" s="12">
        <v>26</v>
      </c>
    </row>
    <row r="404" spans="1:29" x14ac:dyDescent="0.25">
      <c r="A404" s="13"/>
      <c r="B404" s="14" t="s">
        <v>3</v>
      </c>
      <c r="C404" s="14" t="s">
        <v>19</v>
      </c>
      <c r="D404" s="15"/>
      <c r="F404" s="13" t="s">
        <v>4</v>
      </c>
      <c r="G404" s="13" t="s">
        <v>12</v>
      </c>
      <c r="H404" s="13" t="s">
        <v>13</v>
      </c>
      <c r="I404" s="19"/>
      <c r="J404" s="13" t="s">
        <v>5</v>
      </c>
      <c r="K404" s="13" t="s">
        <v>23</v>
      </c>
      <c r="L404" s="13"/>
      <c r="M404" s="13"/>
      <c r="N404" s="73" t="s">
        <v>176</v>
      </c>
      <c r="O404" s="13"/>
      <c r="P404" s="13"/>
      <c r="Q404" s="13"/>
      <c r="R404" s="13"/>
      <c r="S404" s="13" t="s">
        <v>70</v>
      </c>
      <c r="T404" s="13" t="s">
        <v>9</v>
      </c>
      <c r="U404" s="80" t="s">
        <v>161</v>
      </c>
      <c r="V404" s="13" t="s">
        <v>79</v>
      </c>
      <c r="W404" s="13" t="s">
        <v>10</v>
      </c>
      <c r="X404" s="13" t="s">
        <v>11</v>
      </c>
      <c r="Y404" s="80" t="s">
        <v>104</v>
      </c>
      <c r="Z404" s="80" t="s">
        <v>105</v>
      </c>
      <c r="AA404" s="80" t="s">
        <v>106</v>
      </c>
      <c r="AB404" s="77" t="s">
        <v>71</v>
      </c>
    </row>
    <row r="405" spans="1:29" x14ac:dyDescent="0.25">
      <c r="B405" s="152">
        <v>-1</v>
      </c>
      <c r="C405" s="35"/>
      <c r="F405" s="12"/>
      <c r="G405" s="12"/>
      <c r="H405" s="12"/>
      <c r="I405" s="19"/>
      <c r="J405" s="12"/>
      <c r="K405" s="12"/>
      <c r="L405" s="12"/>
      <c r="M405" s="12"/>
      <c r="N405" s="12"/>
      <c r="O405" s="12"/>
      <c r="P405" s="12"/>
      <c r="Q405" s="12"/>
      <c r="R405" s="12"/>
      <c r="S405" s="51">
        <v>1</v>
      </c>
      <c r="T405" s="12"/>
      <c r="U405" s="12"/>
      <c r="V405" s="12"/>
      <c r="W405" s="12"/>
      <c r="X405" s="12"/>
      <c r="Y405" s="12"/>
      <c r="Z405" s="12"/>
      <c r="AA405" s="12"/>
    </row>
    <row r="406" spans="1:29" ht="13" x14ac:dyDescent="0.3">
      <c r="A406" s="56"/>
      <c r="B406" s="111">
        <f>IF(AND('AES Indiana Sep 23 Bill Calc.'!$D$17="UW",'AES Indiana Sep 23 Bill Calc.'!$D$18="Yes 100%"),'AES Indiana Sep 23 Bill Calc.'!$D$19,-1)</f>
        <v>-1</v>
      </c>
      <c r="C406" s="1" t="s">
        <v>73</v>
      </c>
      <c r="F406" s="37" t="s">
        <v>48</v>
      </c>
      <c r="G406" s="17">
        <f>SUM(J406:M406,O406:P406,R406:AA406)</f>
        <v>36.370000000000005</v>
      </c>
      <c r="H406" s="19" t="e">
        <f>IF(ISBLANK(B406),0,+#REF!/B406)</f>
        <v>#REF!</v>
      </c>
      <c r="I406" s="19"/>
      <c r="J406" s="16">
        <f>IF(ISBLANK(B406),0,+J$401)</f>
        <v>36.450000000000003</v>
      </c>
      <c r="K406" s="16">
        <f>ROUND($B406*K$401,2)</f>
        <v>-7.0000000000000007E-2</v>
      </c>
      <c r="L406" s="16">
        <f>IF($B406&gt;K$186,ROUND(($B406-K$186)*L$401,2),0)</f>
        <v>0</v>
      </c>
      <c r="M406" s="8"/>
      <c r="N406" s="8">
        <f>SUM(K406:L406)</f>
        <v>-7.0000000000000007E-2</v>
      </c>
      <c r="O406" s="8"/>
      <c r="P406" s="8"/>
      <c r="Q406" s="8"/>
      <c r="R406" s="8"/>
      <c r="S406" s="17">
        <f>ROUND($B406*S$401*S405,2)</f>
        <v>0</v>
      </c>
      <c r="T406" s="17">
        <f t="shared" ref="T406:AA414" si="32">ROUND($B406*T$401,2)</f>
        <v>0</v>
      </c>
      <c r="U406" s="17">
        <f t="shared" si="32"/>
        <v>0</v>
      </c>
      <c r="V406" s="17">
        <f t="shared" si="32"/>
        <v>-0.01</v>
      </c>
      <c r="W406" s="17">
        <f t="shared" si="32"/>
        <v>0</v>
      </c>
      <c r="X406" s="17">
        <f t="shared" si="32"/>
        <v>0</v>
      </c>
      <c r="Y406" s="17">
        <f t="shared" si="32"/>
        <v>0</v>
      </c>
      <c r="Z406" s="17">
        <f t="shared" si="32"/>
        <v>0</v>
      </c>
      <c r="AA406" s="17">
        <f t="shared" si="32"/>
        <v>0</v>
      </c>
      <c r="AB406" s="19">
        <f>SUM(U401:AA401)</f>
        <v>1.2555999999999999E-2</v>
      </c>
      <c r="AC406" s="78" t="str">
        <f>+F406</f>
        <v>UW</v>
      </c>
    </row>
    <row r="407" spans="1:29" x14ac:dyDescent="0.25">
      <c r="B407" s="152">
        <v>-1</v>
      </c>
      <c r="C407" s="9"/>
      <c r="F407" s="12"/>
      <c r="G407" s="12"/>
      <c r="H407" s="12"/>
      <c r="I407" s="19"/>
      <c r="J407" s="12"/>
      <c r="K407" s="12"/>
      <c r="L407" s="12"/>
      <c r="M407" s="12"/>
      <c r="N407" s="12"/>
      <c r="O407" s="12"/>
      <c r="P407" s="12"/>
      <c r="Q407" s="12"/>
      <c r="R407" s="12"/>
      <c r="S407" s="51">
        <v>0.5</v>
      </c>
      <c r="T407" s="12"/>
      <c r="U407" s="12"/>
      <c r="V407" s="12"/>
      <c r="W407" s="12"/>
      <c r="X407" s="12"/>
      <c r="Y407" s="12"/>
      <c r="Z407" s="12"/>
      <c r="AA407" s="12"/>
    </row>
    <row r="408" spans="1:29" ht="13" x14ac:dyDescent="0.3">
      <c r="A408" s="56"/>
      <c r="B408" s="111">
        <f>IF(AND('AES Indiana Sep 23 Bill Calc.'!$D$17="UW",'AES Indiana Sep 23 Bill Calc.'!$D$18="Yes 50%"),'AES Indiana Sep 23 Bill Calc.'!$D$19,-1)</f>
        <v>-1</v>
      </c>
      <c r="C408" s="57" t="s">
        <v>171</v>
      </c>
      <c r="F408" s="37" t="s">
        <v>48</v>
      </c>
      <c r="G408" s="17">
        <f>SUM(J408:M408,O408:P408,R408:AA408)</f>
        <v>36.370000000000005</v>
      </c>
      <c r="H408" s="19" t="e">
        <f>IF(ISBLANK(B408),0,+#REF!/B408)</f>
        <v>#REF!</v>
      </c>
      <c r="I408" s="19"/>
      <c r="J408" s="16">
        <f>IF(ISBLANK(B408),0,+J$401)</f>
        <v>36.450000000000003</v>
      </c>
      <c r="K408" s="16">
        <f>ROUND($B408*K$401,2)</f>
        <v>-7.0000000000000007E-2</v>
      </c>
      <c r="L408" s="16">
        <f>IF($B408&gt;K$186,ROUND(($B408-K$186)*L$401,2),0)</f>
        <v>0</v>
      </c>
      <c r="M408" s="8"/>
      <c r="N408" s="8">
        <f>SUM(K408:L408)</f>
        <v>-7.0000000000000007E-2</v>
      </c>
      <c r="O408" s="8"/>
      <c r="P408" s="8"/>
      <c r="Q408" s="8"/>
      <c r="R408" s="8"/>
      <c r="S408" s="17">
        <f>ROUND($B408*S$401*S407,2)</f>
        <v>0</v>
      </c>
      <c r="T408" s="17">
        <f t="shared" si="32"/>
        <v>0</v>
      </c>
      <c r="U408" s="17">
        <f t="shared" si="32"/>
        <v>0</v>
      </c>
      <c r="V408" s="17">
        <f t="shared" si="32"/>
        <v>-0.01</v>
      </c>
      <c r="W408" s="17">
        <f t="shared" si="32"/>
        <v>0</v>
      </c>
      <c r="X408" s="17">
        <f t="shared" si="32"/>
        <v>0</v>
      </c>
      <c r="Y408" s="17">
        <f t="shared" si="32"/>
        <v>0</v>
      </c>
      <c r="Z408" s="17">
        <f t="shared" si="32"/>
        <v>0</v>
      </c>
      <c r="AA408" s="17">
        <f t="shared" si="32"/>
        <v>0</v>
      </c>
      <c r="AB408" s="19">
        <f>SUM(U403:AA403)</f>
        <v>133</v>
      </c>
      <c r="AC408" s="78" t="str">
        <f>+F408</f>
        <v>UW</v>
      </c>
    </row>
    <row r="409" spans="1:29" x14ac:dyDescent="0.25">
      <c r="B409" s="152">
        <v>-1</v>
      </c>
      <c r="C409" s="9"/>
      <c r="F409" s="12"/>
      <c r="G409" s="12"/>
      <c r="H409" s="12"/>
      <c r="I409" s="19"/>
      <c r="J409" s="12"/>
      <c r="K409" s="12"/>
      <c r="L409" s="12"/>
      <c r="M409" s="12"/>
      <c r="N409" s="12"/>
      <c r="O409" s="12"/>
      <c r="P409" s="12"/>
      <c r="Q409" s="12"/>
      <c r="R409" s="12"/>
      <c r="S409" s="51">
        <v>0.25</v>
      </c>
      <c r="T409" s="12"/>
      <c r="U409" s="12"/>
      <c r="V409" s="12"/>
      <c r="W409" s="12"/>
      <c r="X409" s="12"/>
      <c r="Y409" s="12"/>
      <c r="Z409" s="12"/>
      <c r="AA409" s="12"/>
    </row>
    <row r="410" spans="1:29" ht="13" x14ac:dyDescent="0.3">
      <c r="A410" s="56"/>
      <c r="B410" s="111">
        <f>IF(AND('AES Indiana Sep 23 Bill Calc.'!$D$17="UW",'AES Indiana Sep 23 Bill Calc.'!$D$18="Yes 25%"),'AES Indiana Sep 23 Bill Calc.'!$D$19,-1)</f>
        <v>-1</v>
      </c>
      <c r="C410" s="57" t="s">
        <v>158</v>
      </c>
      <c r="F410" s="37" t="s">
        <v>48</v>
      </c>
      <c r="G410" s="17">
        <f>SUM(J410:M410,O410:P410,R410:AA410)</f>
        <v>36.370000000000005</v>
      </c>
      <c r="H410" s="19" t="e">
        <f>IF(ISBLANK(B410),0,+#REF!/B410)</f>
        <v>#REF!</v>
      </c>
      <c r="I410" s="19"/>
      <c r="J410" s="16">
        <f>IF(ISBLANK(B410),0,+J$401)</f>
        <v>36.450000000000003</v>
      </c>
      <c r="K410" s="16">
        <f>ROUND($B410*K$401,2)</f>
        <v>-7.0000000000000007E-2</v>
      </c>
      <c r="L410" s="16">
        <f>IF($B410&gt;K$186,ROUND(($B410-K$186)*L$401,2),0)</f>
        <v>0</v>
      </c>
      <c r="M410" s="8"/>
      <c r="N410" s="8">
        <f>SUM(K410:L410)</f>
        <v>-7.0000000000000007E-2</v>
      </c>
      <c r="O410" s="8"/>
      <c r="P410" s="8"/>
      <c r="Q410" s="8"/>
      <c r="R410" s="8"/>
      <c r="S410" s="17">
        <f>ROUND($B410*S$401*S409,2)</f>
        <v>0</v>
      </c>
      <c r="T410" s="17">
        <f t="shared" si="32"/>
        <v>0</v>
      </c>
      <c r="U410" s="17">
        <f t="shared" si="32"/>
        <v>0</v>
      </c>
      <c r="V410" s="17">
        <f t="shared" si="32"/>
        <v>-0.01</v>
      </c>
      <c r="W410" s="17">
        <f t="shared" si="32"/>
        <v>0</v>
      </c>
      <c r="X410" s="17">
        <f t="shared" si="32"/>
        <v>0</v>
      </c>
      <c r="Y410" s="17">
        <f t="shared" si="32"/>
        <v>0</v>
      </c>
      <c r="Z410" s="17">
        <f t="shared" si="32"/>
        <v>0</v>
      </c>
      <c r="AA410" s="17">
        <f t="shared" si="32"/>
        <v>0</v>
      </c>
      <c r="AB410" s="19">
        <f>SUM(U405:AA405)</f>
        <v>0</v>
      </c>
      <c r="AC410" s="78" t="str">
        <f>+F410</f>
        <v>UW</v>
      </c>
    </row>
    <row r="411" spans="1:29" x14ac:dyDescent="0.25">
      <c r="B411" s="152">
        <v>-1</v>
      </c>
      <c r="C411" s="9"/>
      <c r="F411" s="12"/>
      <c r="G411" s="12"/>
      <c r="H411" s="12"/>
      <c r="I411" s="19"/>
      <c r="J411" s="12"/>
      <c r="K411" s="12"/>
      <c r="L411" s="12"/>
      <c r="M411" s="12"/>
      <c r="N411" s="12"/>
      <c r="O411" s="12"/>
      <c r="P411" s="12"/>
      <c r="Q411" s="12"/>
      <c r="R411" s="12"/>
      <c r="S411" s="51">
        <v>0.1</v>
      </c>
      <c r="T411" s="12"/>
      <c r="U411" s="12"/>
      <c r="V411" s="12"/>
      <c r="W411" s="12"/>
      <c r="X411" s="12"/>
      <c r="Y411" s="12"/>
      <c r="Z411" s="12"/>
      <c r="AA411" s="12"/>
    </row>
    <row r="412" spans="1:29" ht="13" x14ac:dyDescent="0.3">
      <c r="A412" s="56"/>
      <c r="B412" s="111">
        <f>IF(AND('AES Indiana Sep 23 Bill Calc.'!$D$17="UW",'AES Indiana Sep 23 Bill Calc.'!$D$18="Yes 10%"),'AES Indiana Sep 23 Bill Calc.'!$D$19,-1)</f>
        <v>-1</v>
      </c>
      <c r="C412" s="57" t="s">
        <v>173</v>
      </c>
      <c r="F412" s="37" t="s">
        <v>48</v>
      </c>
      <c r="G412" s="17">
        <f>SUM(J412:M412,O412:P412,R412:AA412)</f>
        <v>36.370000000000005</v>
      </c>
      <c r="H412" s="19" t="e">
        <f>IF(ISBLANK(B412),0,+#REF!/B412)</f>
        <v>#REF!</v>
      </c>
      <c r="I412" s="19"/>
      <c r="J412" s="16">
        <f>IF(ISBLANK(B412),0,+J$401)</f>
        <v>36.450000000000003</v>
      </c>
      <c r="K412" s="16">
        <f>ROUND($B412*K$401,2)</f>
        <v>-7.0000000000000007E-2</v>
      </c>
      <c r="L412" s="16">
        <f>IF($B412&gt;K$186,ROUND(($B412-K$186)*L$401,2),0)</f>
        <v>0</v>
      </c>
      <c r="M412" s="8"/>
      <c r="N412" s="8">
        <f>SUM(K412:L412)</f>
        <v>-7.0000000000000007E-2</v>
      </c>
      <c r="O412" s="8"/>
      <c r="P412" s="8"/>
      <c r="Q412" s="8"/>
      <c r="R412" s="8"/>
      <c r="S412" s="17">
        <f>ROUND($B412*S$401*S411,2)</f>
        <v>0</v>
      </c>
      <c r="T412" s="17">
        <f t="shared" si="32"/>
        <v>0</v>
      </c>
      <c r="U412" s="17">
        <f t="shared" si="32"/>
        <v>0</v>
      </c>
      <c r="V412" s="17">
        <f t="shared" si="32"/>
        <v>-0.01</v>
      </c>
      <c r="W412" s="17">
        <f t="shared" si="32"/>
        <v>0</v>
      </c>
      <c r="X412" s="17">
        <f t="shared" si="32"/>
        <v>0</v>
      </c>
      <c r="Y412" s="17">
        <f t="shared" si="32"/>
        <v>0</v>
      </c>
      <c r="Z412" s="17">
        <f t="shared" si="32"/>
        <v>0</v>
      </c>
      <c r="AA412" s="17">
        <f t="shared" si="32"/>
        <v>0</v>
      </c>
      <c r="AB412" s="19">
        <f>SUM(U407:AA407)</f>
        <v>0</v>
      </c>
      <c r="AC412" s="78" t="str">
        <f>+F412</f>
        <v>UW</v>
      </c>
    </row>
    <row r="413" spans="1:29" x14ac:dyDescent="0.25">
      <c r="B413" s="152">
        <v>-1</v>
      </c>
      <c r="C413" s="9"/>
      <c r="F413" s="12"/>
      <c r="G413" s="12"/>
      <c r="H413" s="12"/>
      <c r="I413" s="19"/>
      <c r="J413" s="12"/>
      <c r="K413" s="12"/>
      <c r="L413" s="12"/>
      <c r="M413" s="12"/>
      <c r="N413" s="12"/>
      <c r="O413" s="12"/>
      <c r="P413" s="12"/>
      <c r="Q413" s="12"/>
      <c r="R413" s="12"/>
      <c r="S413" s="51">
        <v>0</v>
      </c>
      <c r="T413" s="12"/>
      <c r="U413" s="12"/>
      <c r="V413" s="12"/>
      <c r="W413" s="12"/>
      <c r="X413" s="12"/>
      <c r="Y413" s="12"/>
      <c r="Z413" s="12"/>
      <c r="AA413" s="12"/>
    </row>
    <row r="414" spans="1:29" ht="13" x14ac:dyDescent="0.3">
      <c r="A414" s="56"/>
      <c r="B414" s="111">
        <f>IF(AND('AES Indiana Sep 23 Bill Calc.'!$D$17="UW",'AES Indiana Sep 23 Bill Calc.'!$D$18="No"),'AES Indiana Sep 23 Bill Calc.'!$D$19,-1)</f>
        <v>-1</v>
      </c>
      <c r="C414" s="57" t="s">
        <v>172</v>
      </c>
      <c r="F414" s="37" t="s">
        <v>48</v>
      </c>
      <c r="G414" s="17">
        <f>SUM(J414:M414,O414:P414,R414:AA414)</f>
        <v>36.370000000000005</v>
      </c>
      <c r="H414" s="19" t="e">
        <f>IF(ISBLANK(B414),0,+#REF!/B414)</f>
        <v>#REF!</v>
      </c>
      <c r="I414" s="19"/>
      <c r="J414" s="16">
        <f>IF(ISBLANK(B414),0,+J$401)</f>
        <v>36.450000000000003</v>
      </c>
      <c r="K414" s="16">
        <f>ROUND($B414*K$401,2)</f>
        <v>-7.0000000000000007E-2</v>
      </c>
      <c r="L414" s="16">
        <f>IF($B414&gt;K$186,ROUND(($B414-K$186)*L$401,2),0)</f>
        <v>0</v>
      </c>
      <c r="M414" s="8"/>
      <c r="N414" s="8">
        <f>SUM(K414:L414)</f>
        <v>-7.0000000000000007E-2</v>
      </c>
      <c r="O414" s="8"/>
      <c r="P414" s="8"/>
      <c r="Q414" s="8"/>
      <c r="R414" s="8"/>
      <c r="S414" s="17">
        <f>ROUND($B414*S$401*S413,2)</f>
        <v>0</v>
      </c>
      <c r="T414" s="17">
        <f t="shared" si="32"/>
        <v>0</v>
      </c>
      <c r="U414" s="17">
        <f t="shared" si="32"/>
        <v>0</v>
      </c>
      <c r="V414" s="17">
        <f t="shared" si="32"/>
        <v>-0.01</v>
      </c>
      <c r="W414" s="17">
        <f t="shared" si="32"/>
        <v>0</v>
      </c>
      <c r="X414" s="17">
        <f t="shared" si="32"/>
        <v>0</v>
      </c>
      <c r="Y414" s="17">
        <f t="shared" si="32"/>
        <v>0</v>
      </c>
      <c r="Z414" s="17">
        <f t="shared" si="32"/>
        <v>0</v>
      </c>
      <c r="AA414" s="17">
        <f t="shared" si="32"/>
        <v>0</v>
      </c>
      <c r="AB414" s="19">
        <f>SUM(U409:AA409)</f>
        <v>0</v>
      </c>
      <c r="AC414" s="78" t="str">
        <f>+F414</f>
        <v>UW</v>
      </c>
    </row>
    <row r="415" spans="1:29" ht="13" thickBot="1" x14ac:dyDescent="0.3">
      <c r="A415" s="21"/>
      <c r="B415" s="151">
        <v>-1</v>
      </c>
      <c r="C415" s="28"/>
      <c r="D415" s="21"/>
      <c r="F415" s="21"/>
      <c r="G415" s="23"/>
      <c r="H415" s="25"/>
      <c r="I415" s="19"/>
      <c r="J415" s="24"/>
      <c r="K415" s="23"/>
      <c r="L415" s="24"/>
      <c r="M415" s="24"/>
      <c r="N415" s="24"/>
      <c r="O415" s="24"/>
      <c r="P415" s="24"/>
      <c r="Q415" s="24"/>
      <c r="R415" s="24"/>
      <c r="S415" s="23"/>
      <c r="T415" s="23"/>
      <c r="U415" s="23"/>
      <c r="V415" s="23"/>
      <c r="W415" s="23"/>
      <c r="X415" s="23"/>
      <c r="Y415" s="23"/>
      <c r="Z415" s="23"/>
      <c r="AA415" s="23"/>
      <c r="AB415" s="25"/>
    </row>
    <row r="416" spans="1:29" x14ac:dyDescent="0.25">
      <c r="B416" s="152">
        <v>-1</v>
      </c>
      <c r="G416" s="17"/>
      <c r="H416" s="19"/>
      <c r="I416" s="19"/>
      <c r="J416" s="8"/>
      <c r="K416" s="17"/>
      <c r="L416" s="8"/>
      <c r="M416" s="8"/>
      <c r="N416" s="8"/>
      <c r="O416" s="8"/>
      <c r="P416" s="8"/>
      <c r="Q416" s="8"/>
      <c r="R416" s="8"/>
      <c r="S416" s="17"/>
      <c r="T416" s="17"/>
      <c r="U416" s="17"/>
      <c r="V416" s="27">
        <f>+T10</f>
        <v>0</v>
      </c>
      <c r="W416" s="6" t="s">
        <v>94</v>
      </c>
      <c r="X416" s="17"/>
      <c r="Y416" s="17"/>
      <c r="Z416" s="17"/>
      <c r="AA416" s="17"/>
      <c r="AB416" s="19" t="e">
        <f>+AB$425-V$425+#REF!</f>
        <v>#REF!</v>
      </c>
    </row>
    <row r="417" spans="1:29" x14ac:dyDescent="0.25">
      <c r="B417" s="152">
        <v>-1</v>
      </c>
      <c r="L417" t="s">
        <v>30</v>
      </c>
      <c r="M417" t="s">
        <v>30</v>
      </c>
      <c r="S417" s="6"/>
      <c r="T417" s="6"/>
      <c r="U417" s="6"/>
      <c r="V417" s="27">
        <f>+T12</f>
        <v>0</v>
      </c>
      <c r="W417" s="6" t="s">
        <v>100</v>
      </c>
      <c r="X417" s="6"/>
      <c r="Y417" s="6"/>
      <c r="Z417" s="6"/>
      <c r="AA417" s="6"/>
      <c r="AB417" s="19">
        <f>+AB$425-V$425+V416</f>
        <v>3.2659999999999989E-3</v>
      </c>
    </row>
    <row r="418" spans="1:29" x14ac:dyDescent="0.25">
      <c r="B418" s="152">
        <v>-1</v>
      </c>
      <c r="S418" s="6"/>
      <c r="T418" s="6"/>
      <c r="U418" s="6"/>
      <c r="V418" s="27">
        <f>+T14</f>
        <v>0</v>
      </c>
      <c r="W418" s="6" t="s">
        <v>114</v>
      </c>
      <c r="X418" s="6"/>
      <c r="Y418" s="6"/>
      <c r="Z418" s="6"/>
      <c r="AA418" s="6"/>
      <c r="AB418" s="19">
        <f>+AB$425-V$425+V417</f>
        <v>3.2659999999999989E-3</v>
      </c>
    </row>
    <row r="419" spans="1:29" x14ac:dyDescent="0.25">
      <c r="B419" s="152">
        <v>-1</v>
      </c>
      <c r="S419" s="6"/>
      <c r="T419" s="6"/>
      <c r="U419" s="6"/>
      <c r="V419" s="27">
        <f>T16</f>
        <v>1.18E-4</v>
      </c>
      <c r="W419" s="6" t="s">
        <v>121</v>
      </c>
      <c r="X419" s="6"/>
      <c r="Y419" s="6"/>
      <c r="Z419" s="6"/>
      <c r="AA419" s="6"/>
      <c r="AB419" s="19">
        <f>+AB$425-V$425+V418</f>
        <v>3.2659999999999989E-3</v>
      </c>
    </row>
    <row r="420" spans="1:29" x14ac:dyDescent="0.25">
      <c r="B420" s="152">
        <v>-1</v>
      </c>
      <c r="S420" s="6"/>
      <c r="T420" s="6"/>
      <c r="U420" s="6"/>
      <c r="V420" s="27">
        <f>$T$19</f>
        <v>4.8799999999999999E-4</v>
      </c>
      <c r="W420" s="6" t="s">
        <v>140</v>
      </c>
      <c r="X420" s="6"/>
      <c r="Y420" s="6"/>
      <c r="Z420" s="6"/>
      <c r="AA420" s="6"/>
      <c r="AB420" s="19"/>
    </row>
    <row r="421" spans="1:29" x14ac:dyDescent="0.25">
      <c r="B421" s="152">
        <v>-1</v>
      </c>
      <c r="S421" s="6"/>
      <c r="T421" s="6"/>
      <c r="U421" s="6"/>
      <c r="V421" s="27">
        <f>$T$21</f>
        <v>1.0330000000000001E-3</v>
      </c>
      <c r="W421" s="6" t="s">
        <v>93</v>
      </c>
      <c r="X421" s="6"/>
      <c r="Y421" s="6"/>
      <c r="Z421" s="6"/>
      <c r="AA421" s="6"/>
      <c r="AB421" s="19"/>
    </row>
    <row r="422" spans="1:29" x14ac:dyDescent="0.25">
      <c r="B422" s="152">
        <v>-1</v>
      </c>
      <c r="S422" s="6"/>
      <c r="T422" s="6"/>
      <c r="U422" s="6"/>
      <c r="V422" s="27">
        <f>$T$23</f>
        <v>1.763E-3</v>
      </c>
      <c r="W422" s="6" t="s">
        <v>164</v>
      </c>
      <c r="X422" s="6"/>
      <c r="Y422" s="6"/>
      <c r="Z422" s="6"/>
      <c r="AA422" s="6"/>
      <c r="AB422" s="19"/>
    </row>
    <row r="423" spans="1:29" x14ac:dyDescent="0.25">
      <c r="B423" s="152">
        <v>-1</v>
      </c>
      <c r="S423" s="6"/>
      <c r="T423" s="6"/>
      <c r="U423" s="6"/>
      <c r="V423" s="27">
        <f>$T$25</f>
        <v>0</v>
      </c>
      <c r="W423" s="6" t="s">
        <v>177</v>
      </c>
      <c r="X423" s="6"/>
      <c r="Y423" s="6"/>
      <c r="Z423" s="6"/>
      <c r="AA423" s="6"/>
      <c r="AB423" s="19"/>
    </row>
    <row r="424" spans="1:29" x14ac:dyDescent="0.25">
      <c r="B424" s="152">
        <v>-1</v>
      </c>
      <c r="S424" s="6"/>
      <c r="T424" s="6"/>
      <c r="U424" s="6"/>
      <c r="V424" s="19">
        <f>T27</f>
        <v>3.6970000000000002E-3</v>
      </c>
      <c r="W424" s="6" t="s">
        <v>294</v>
      </c>
      <c r="X424" s="6"/>
      <c r="Y424" s="6"/>
      <c r="Z424" s="6"/>
      <c r="AA424" s="6"/>
      <c r="AB424" s="19"/>
    </row>
    <row r="425" spans="1:29" x14ac:dyDescent="0.25">
      <c r="B425" s="152">
        <v>-1</v>
      </c>
      <c r="C425" s="34" t="s">
        <v>261</v>
      </c>
      <c r="D425" s="82"/>
      <c r="F425" s="82"/>
      <c r="G425" s="82"/>
      <c r="H425" s="82"/>
      <c r="I425" s="82"/>
      <c r="J425" s="84">
        <v>118.2</v>
      </c>
      <c r="K425" s="83">
        <v>3.6422999999999997E-2</v>
      </c>
      <c r="M425" s="84">
        <v>21.1</v>
      </c>
      <c r="N425" s="84"/>
      <c r="O425" s="84">
        <v>21.1</v>
      </c>
      <c r="P425" s="84"/>
      <c r="Q425" s="84"/>
      <c r="R425" s="5"/>
      <c r="S425" s="27">
        <f>+M$5</f>
        <v>3.0000000000000001E-3</v>
      </c>
      <c r="T425" s="27">
        <f t="shared" ref="T425:AA425" si="33">+R$5</f>
        <v>-3.1020000000000002E-3</v>
      </c>
      <c r="U425" s="27">
        <f t="shared" si="33"/>
        <v>1.9350000000000001E-3</v>
      </c>
      <c r="V425" s="27">
        <f t="shared" si="33"/>
        <v>6.1199999999999996E-3</v>
      </c>
      <c r="W425" s="27">
        <f t="shared" si="33"/>
        <v>0</v>
      </c>
      <c r="X425" s="27">
        <f t="shared" si="33"/>
        <v>6.6500000000000001E-4</v>
      </c>
      <c r="Y425" s="27">
        <f t="shared" si="33"/>
        <v>1.784E-3</v>
      </c>
      <c r="Z425" s="27">
        <f t="shared" si="33"/>
        <v>-1.1180000000000001E-3</v>
      </c>
      <c r="AA425" s="27">
        <f t="shared" si="33"/>
        <v>2.7E-4</v>
      </c>
      <c r="AB425" s="19">
        <f>SUM(U425:Z425)</f>
        <v>9.3859999999999985E-3</v>
      </c>
    </row>
    <row r="426" spans="1:29" x14ac:dyDescent="0.25">
      <c r="A426" s="1"/>
      <c r="B426" s="152">
        <v>-1</v>
      </c>
      <c r="C426" s="85">
        <v>50</v>
      </c>
      <c r="D426" s="82"/>
      <c r="F426" s="82"/>
      <c r="G426" s="82"/>
      <c r="H426" s="82"/>
      <c r="I426" s="82"/>
      <c r="J426" s="82"/>
      <c r="K426" s="82"/>
      <c r="M426" s="85">
        <v>500</v>
      </c>
      <c r="N426" s="85"/>
      <c r="O426" s="82"/>
      <c r="P426" s="82"/>
      <c r="Q426" s="82"/>
      <c r="R426" s="12" t="s">
        <v>50</v>
      </c>
    </row>
    <row r="427" spans="1:29" x14ac:dyDescent="0.25">
      <c r="B427" s="152">
        <v>-1</v>
      </c>
      <c r="D427" s="12" t="s">
        <v>33</v>
      </c>
      <c r="F427" s="12"/>
      <c r="J427" s="12" t="s">
        <v>1</v>
      </c>
      <c r="K427" s="12" t="s">
        <v>31</v>
      </c>
      <c r="N427" s="30" t="s">
        <v>176</v>
      </c>
      <c r="O427" s="15" t="s">
        <v>32</v>
      </c>
      <c r="P427" s="15"/>
      <c r="Q427" s="73" t="s">
        <v>175</v>
      </c>
      <c r="R427" s="12" t="s">
        <v>33</v>
      </c>
      <c r="S427" s="12">
        <v>21</v>
      </c>
      <c r="T427" s="12">
        <v>6</v>
      </c>
      <c r="U427" s="12">
        <v>3</v>
      </c>
      <c r="V427" s="12">
        <v>22</v>
      </c>
      <c r="W427" s="12">
        <v>13</v>
      </c>
      <c r="X427" s="12">
        <v>20</v>
      </c>
      <c r="Y427" s="12">
        <v>24</v>
      </c>
      <c r="Z427" s="12">
        <v>25</v>
      </c>
      <c r="AA427" s="12">
        <v>26</v>
      </c>
    </row>
    <row r="428" spans="1:29" x14ac:dyDescent="0.25">
      <c r="A428" s="13"/>
      <c r="B428" s="152">
        <v>-1</v>
      </c>
      <c r="C428" s="14" t="s">
        <v>19</v>
      </c>
      <c r="D428" s="13" t="s">
        <v>51</v>
      </c>
      <c r="E428" s="157" t="s">
        <v>260</v>
      </c>
      <c r="F428" s="13" t="s">
        <v>4</v>
      </c>
      <c r="G428" s="13" t="s">
        <v>12</v>
      </c>
      <c r="H428" s="13" t="s">
        <v>13</v>
      </c>
      <c r="I428" s="12"/>
      <c r="J428" s="13" t="s">
        <v>5</v>
      </c>
      <c r="K428" s="13" t="s">
        <v>5</v>
      </c>
      <c r="O428" s="13" t="s">
        <v>34</v>
      </c>
      <c r="P428" s="13" t="s">
        <v>7</v>
      </c>
      <c r="Q428" s="13"/>
      <c r="R428" s="13" t="s">
        <v>35</v>
      </c>
      <c r="S428" s="13" t="s">
        <v>70</v>
      </c>
      <c r="T428" s="13" t="s">
        <v>9</v>
      </c>
      <c r="U428" s="80" t="s">
        <v>161</v>
      </c>
      <c r="V428" s="13" t="s">
        <v>79</v>
      </c>
      <c r="W428" s="13" t="s">
        <v>10</v>
      </c>
      <c r="X428" s="13" t="s">
        <v>11</v>
      </c>
      <c r="Y428" s="80" t="s">
        <v>104</v>
      </c>
      <c r="Z428" s="80" t="s">
        <v>105</v>
      </c>
      <c r="AA428" s="80" t="s">
        <v>106</v>
      </c>
      <c r="AB428" s="77" t="s">
        <v>71</v>
      </c>
    </row>
    <row r="429" spans="1:29" ht="13" x14ac:dyDescent="0.3">
      <c r="B429" s="152">
        <v>-1</v>
      </c>
      <c r="C429" s="35"/>
      <c r="D429" s="18"/>
      <c r="F429" s="37"/>
      <c r="G429" s="12"/>
      <c r="H429" s="12"/>
      <c r="I429" s="12"/>
      <c r="J429" s="12"/>
      <c r="K429" s="12"/>
      <c r="O429" s="12"/>
      <c r="P429" s="12"/>
      <c r="Q429" s="12"/>
      <c r="R429" s="39" t="e">
        <f>INDEX('Pwr Factor'!$A$1:$B$52,MATCH((D430),'Pwr Factor'!$A$1:$A$52,0),2)</f>
        <v>#N/A</v>
      </c>
      <c r="S429" s="51">
        <v>1</v>
      </c>
      <c r="T429" s="12"/>
      <c r="U429" s="12"/>
      <c r="V429" s="12"/>
      <c r="W429" s="12"/>
      <c r="X429" s="12"/>
      <c r="Y429" s="12"/>
      <c r="Z429" s="12"/>
      <c r="AA429" s="12"/>
    </row>
    <row r="430" spans="1:29" ht="13" x14ac:dyDescent="0.3">
      <c r="A430" s="1" t="s">
        <v>73</v>
      </c>
      <c r="B430" s="111">
        <f>IF(AND('AES Indiana Sep 23 Bill Calc.'!$D$17="SL",'AES Indiana Sep 23 Bill Calc.'!$D$18="Yes 100%",'AES Indiana Sep 23 Bill Calc.'!$D$20="No"),'AES Indiana Sep 23 Bill Calc.'!$D$19,-1)</f>
        <v>-1</v>
      </c>
      <c r="C430" s="111">
        <f>MAX(E430,$C$426)</f>
        <v>50</v>
      </c>
      <c r="D430" s="111" t="b">
        <f>IF(AND('AES Indiana Sep 23 Bill Calc.'!$D$17="SL",'AES Indiana Sep 23 Bill Calc.'!$D$18="Yes 100%",'AES Indiana Sep 23 Bill Calc.'!$D$20="No"),'AES Indiana Sep 23 Bill Calc.'!$D$22)</f>
        <v>0</v>
      </c>
      <c r="E430" s="111" t="b">
        <f>IF(AND('AES Indiana Sep 23 Bill Calc.'!$D$17="SL",'AES Indiana Sep 23 Bill Calc.'!$D$18="Yes 100%",'AES Indiana Sep 23 Bill Calc.'!$D$20="No"),'AES Indiana Sep 23 Bill Calc.'!$D$21)</f>
        <v>0</v>
      </c>
      <c r="F430" s="37" t="s">
        <v>36</v>
      </c>
      <c r="G430" s="17" t="e">
        <f>SUM(J430:M430,O430:P430,R430:AA430)</f>
        <v>#N/A</v>
      </c>
      <c r="H430" s="19" t="e">
        <f>IF(ISBLANK(B430),0,+#REF!/B430)</f>
        <v>#REF!</v>
      </c>
      <c r="I430" s="19"/>
      <c r="J430" s="16">
        <f>IF(ISBLANK(B430),0,+J$425)</f>
        <v>118.2</v>
      </c>
      <c r="K430" s="17">
        <f>ROUND($B430*K$425,2)</f>
        <v>-0.04</v>
      </c>
      <c r="N430" s="18">
        <f>K430</f>
        <v>-0.04</v>
      </c>
      <c r="O430" s="17">
        <f>IF($C430&gt;M$426,ROUND(M$426*M$425,2),ROUND($C430*M$425,2))</f>
        <v>1055</v>
      </c>
      <c r="P430" s="17">
        <f>IF($C430&gt;M$426,ROUND(($C430-M$426)*O$425,2),0)</f>
        <v>0</v>
      </c>
      <c r="Q430" s="17">
        <f>SUM(O430:P430)</f>
        <v>1055</v>
      </c>
      <c r="R430" s="16" t="e">
        <f>ROUND(SUM(N430:P430)*(R429-1),2)</f>
        <v>#N/A</v>
      </c>
      <c r="S430" s="17">
        <f>ROUND($B430*S$425*S429,2)</f>
        <v>0</v>
      </c>
      <c r="T430" s="17">
        <f t="shared" ref="T430:AA438" si="34">ROUND($B430*T$425,2)</f>
        <v>0</v>
      </c>
      <c r="U430" s="17">
        <f t="shared" si="34"/>
        <v>0</v>
      </c>
      <c r="V430" s="17">
        <f t="shared" si="34"/>
        <v>-0.01</v>
      </c>
      <c r="W430" s="17">
        <f t="shared" si="34"/>
        <v>0</v>
      </c>
      <c r="X430" s="17">
        <f t="shared" si="34"/>
        <v>0</v>
      </c>
      <c r="Y430" s="17">
        <f t="shared" si="34"/>
        <v>0</v>
      </c>
      <c r="Z430" s="17">
        <f t="shared" si="34"/>
        <v>0</v>
      </c>
      <c r="AA430" s="17">
        <f t="shared" si="34"/>
        <v>0</v>
      </c>
      <c r="AB430" s="19">
        <f>SUM(U425:AA425)</f>
        <v>9.6559999999999979E-3</v>
      </c>
      <c r="AC430" s="78" t="str">
        <f>+F430</f>
        <v>SL</v>
      </c>
    </row>
    <row r="431" spans="1:29" ht="13" x14ac:dyDescent="0.3">
      <c r="A431" s="9"/>
      <c r="B431" s="152">
        <v>-1</v>
      </c>
      <c r="D431" s="18"/>
      <c r="E431" s="35"/>
      <c r="F431" s="37"/>
      <c r="G431" s="12"/>
      <c r="H431" s="12"/>
      <c r="I431" s="12"/>
      <c r="J431" s="12"/>
      <c r="K431" s="12"/>
      <c r="O431" s="12"/>
      <c r="P431" s="12"/>
      <c r="Q431" s="12"/>
      <c r="R431" s="39" t="e">
        <f>INDEX('Pwr Factor'!$A$1:$B$52,MATCH((D432),'Pwr Factor'!$A$1:$A$52,0),2)</f>
        <v>#N/A</v>
      </c>
      <c r="S431" s="51">
        <v>0.5</v>
      </c>
      <c r="T431" s="12"/>
      <c r="U431" s="12"/>
      <c r="V431" s="12"/>
      <c r="W431" s="12"/>
      <c r="X431" s="12"/>
      <c r="Y431" s="12"/>
      <c r="Z431" s="12"/>
      <c r="AA431" s="12"/>
    </row>
    <row r="432" spans="1:29" ht="13" x14ac:dyDescent="0.3">
      <c r="A432" s="57" t="s">
        <v>171</v>
      </c>
      <c r="B432" s="111">
        <f>IF(AND('AES Indiana Sep 23 Bill Calc.'!$D$17="SL",'AES Indiana Sep 23 Bill Calc.'!$D$18="Yes 50%",'AES Indiana Sep 23 Bill Calc.'!$D$20="No"),'AES Indiana Sep 23 Bill Calc.'!$D$19,-1)</f>
        <v>-1</v>
      </c>
      <c r="C432" s="111">
        <f>MAX(E432,$C$426)</f>
        <v>50</v>
      </c>
      <c r="D432" s="111" t="b">
        <f>IF(AND('AES Indiana Sep 23 Bill Calc.'!$D$17="SL",'AES Indiana Sep 23 Bill Calc.'!$D$18="Yes 50%",'AES Indiana Sep 23 Bill Calc.'!$D$20="No"),'AES Indiana Sep 23 Bill Calc.'!$D$22)</f>
        <v>0</v>
      </c>
      <c r="E432" s="111" t="b">
        <f>IF(AND('AES Indiana Sep 23 Bill Calc.'!$D$17="SL",'AES Indiana Sep 23 Bill Calc.'!$D$18="Yes 50%",'AES Indiana Sep 23 Bill Calc.'!$D$20="No"),'AES Indiana Sep 23 Bill Calc.'!$D$21)</f>
        <v>0</v>
      </c>
      <c r="F432" s="37" t="s">
        <v>36</v>
      </c>
      <c r="G432" s="17" t="e">
        <f>SUM(J432:M432,O432:P432,R432:AA432)</f>
        <v>#N/A</v>
      </c>
      <c r="H432" s="19" t="e">
        <f>IF(ISBLANK(B432),0,+#REF!/B432)</f>
        <v>#REF!</v>
      </c>
      <c r="I432" s="19"/>
      <c r="J432" s="16">
        <f>IF(ISBLANK(B432),0,+J$425)</f>
        <v>118.2</v>
      </c>
      <c r="K432" s="17">
        <f>ROUND($B432*K$425,2)</f>
        <v>-0.04</v>
      </c>
      <c r="N432" s="18">
        <f>K432</f>
        <v>-0.04</v>
      </c>
      <c r="O432" s="17">
        <f>IF($C432&gt;M$426,ROUND(M$426*M$425,2),ROUND($C432*M$425,2))</f>
        <v>1055</v>
      </c>
      <c r="P432" s="17">
        <f>IF($C432&gt;M$426,ROUND(($C432-M$426)*O$425,2),0)</f>
        <v>0</v>
      </c>
      <c r="Q432" s="17">
        <f>SUM(O432:P432)</f>
        <v>1055</v>
      </c>
      <c r="R432" s="16" t="e">
        <f>ROUND(SUM(N432:P432)*(R431-1),2)</f>
        <v>#N/A</v>
      </c>
      <c r="S432" s="17">
        <f>ROUND($B432*S$425*S431,2)</f>
        <v>0</v>
      </c>
      <c r="T432" s="17">
        <f t="shared" si="34"/>
        <v>0</v>
      </c>
      <c r="U432" s="17">
        <f t="shared" si="34"/>
        <v>0</v>
      </c>
      <c r="V432" s="17">
        <f t="shared" si="34"/>
        <v>-0.01</v>
      </c>
      <c r="W432" s="17">
        <f t="shared" si="34"/>
        <v>0</v>
      </c>
      <c r="X432" s="17">
        <f t="shared" si="34"/>
        <v>0</v>
      </c>
      <c r="Y432" s="17">
        <f t="shared" si="34"/>
        <v>0</v>
      </c>
      <c r="Z432" s="17">
        <f t="shared" si="34"/>
        <v>0</v>
      </c>
      <c r="AA432" s="17">
        <f t="shared" si="34"/>
        <v>0</v>
      </c>
      <c r="AB432" s="19">
        <f>SUM(U427:AA427)</f>
        <v>133</v>
      </c>
      <c r="AC432" s="78" t="str">
        <f>+F432</f>
        <v>SL</v>
      </c>
    </row>
    <row r="433" spans="1:29" ht="13" x14ac:dyDescent="0.3">
      <c r="A433" s="9"/>
      <c r="B433" s="152">
        <v>-1</v>
      </c>
      <c r="D433" s="18"/>
      <c r="E433" s="35"/>
      <c r="F433" s="37"/>
      <c r="G433" s="12"/>
      <c r="H433" s="12"/>
      <c r="I433" s="12"/>
      <c r="J433" s="12"/>
      <c r="K433" s="12"/>
      <c r="O433" s="12"/>
      <c r="P433" s="12"/>
      <c r="Q433" s="12"/>
      <c r="R433" s="39" t="e">
        <f>INDEX('Pwr Factor'!$A$1:$B$52,MATCH((D434),'Pwr Factor'!$A$1:$A$52,0),2)</f>
        <v>#N/A</v>
      </c>
      <c r="S433" s="51">
        <v>0.25</v>
      </c>
      <c r="T433" s="12"/>
      <c r="U433" s="12"/>
      <c r="V433" s="12"/>
      <c r="W433" s="12"/>
      <c r="X433" s="12"/>
      <c r="Y433" s="12"/>
      <c r="Z433" s="12"/>
      <c r="AA433" s="12"/>
    </row>
    <row r="434" spans="1:29" ht="13" x14ac:dyDescent="0.3">
      <c r="A434" s="57" t="s">
        <v>158</v>
      </c>
      <c r="B434" s="111">
        <f>IF(AND('AES Indiana Sep 23 Bill Calc.'!$D$17="SL",'AES Indiana Sep 23 Bill Calc.'!$D$18="Yes 25%",'AES Indiana Sep 23 Bill Calc.'!$D$20="No"),'AES Indiana Sep 23 Bill Calc.'!$D$19,-1)</f>
        <v>-1</v>
      </c>
      <c r="C434" s="111">
        <f>MAX(E434,$C$426)</f>
        <v>50</v>
      </c>
      <c r="D434" s="111" t="b">
        <f>IF(AND('AES Indiana Sep 23 Bill Calc.'!$D$17="SL",'AES Indiana Sep 23 Bill Calc.'!$D$18="Yes 25%",'AES Indiana Sep 23 Bill Calc.'!$D$20="No"),'AES Indiana Sep 23 Bill Calc.'!$D$22)</f>
        <v>0</v>
      </c>
      <c r="E434" s="111" t="b">
        <f>IF(AND('AES Indiana Sep 23 Bill Calc.'!$D$17="SL",'AES Indiana Sep 23 Bill Calc.'!$D$18="Yes 25%",'AES Indiana Sep 23 Bill Calc.'!$D$20="No"),'AES Indiana Sep 23 Bill Calc.'!$D$21)</f>
        <v>0</v>
      </c>
      <c r="F434" s="37" t="s">
        <v>36</v>
      </c>
      <c r="G434" s="17" t="e">
        <f>SUM(J434:M434,O434:P434,R434:AA434)</f>
        <v>#N/A</v>
      </c>
      <c r="H434" s="19" t="e">
        <f>IF(ISBLANK(B434),0,+#REF!/B434)</f>
        <v>#REF!</v>
      </c>
      <c r="I434" s="19"/>
      <c r="J434" s="16">
        <f>IF(ISBLANK(B434),0,+J$425)</f>
        <v>118.2</v>
      </c>
      <c r="K434" s="17">
        <f>ROUND($B434*K$425,2)</f>
        <v>-0.04</v>
      </c>
      <c r="N434" s="18">
        <f>K434</f>
        <v>-0.04</v>
      </c>
      <c r="O434" s="17">
        <f>IF($C434&gt;M$426,ROUND(M$426*M$425,2),ROUND($C434*M$425,2))</f>
        <v>1055</v>
      </c>
      <c r="P434" s="17">
        <f>IF($C434&gt;M$426,ROUND(($C434-M$426)*O$425,2),0)</f>
        <v>0</v>
      </c>
      <c r="Q434" s="17">
        <f>SUM(O434:P434)</f>
        <v>1055</v>
      </c>
      <c r="R434" s="16" t="e">
        <f>ROUND(SUM(N434:P434)*(R433-1),2)</f>
        <v>#N/A</v>
      </c>
      <c r="S434" s="17">
        <f>ROUND($B434*S$425*S433,2)</f>
        <v>0</v>
      </c>
      <c r="T434" s="17">
        <f t="shared" si="34"/>
        <v>0</v>
      </c>
      <c r="U434" s="17">
        <f t="shared" si="34"/>
        <v>0</v>
      </c>
      <c r="V434" s="17">
        <f t="shared" si="34"/>
        <v>-0.01</v>
      </c>
      <c r="W434" s="17">
        <f t="shared" si="34"/>
        <v>0</v>
      </c>
      <c r="X434" s="17">
        <f t="shared" si="34"/>
        <v>0</v>
      </c>
      <c r="Y434" s="17">
        <f t="shared" si="34"/>
        <v>0</v>
      </c>
      <c r="Z434" s="17">
        <f t="shared" si="34"/>
        <v>0</v>
      </c>
      <c r="AA434" s="17">
        <f t="shared" si="34"/>
        <v>0</v>
      </c>
      <c r="AB434" s="19">
        <f>SUM(U429:AA429)</f>
        <v>0</v>
      </c>
      <c r="AC434" s="78" t="str">
        <f>+F434</f>
        <v>SL</v>
      </c>
    </row>
    <row r="435" spans="1:29" ht="13" x14ac:dyDescent="0.3">
      <c r="A435" s="9"/>
      <c r="B435" s="111">
        <v>-1</v>
      </c>
      <c r="D435" s="18"/>
      <c r="E435" s="35"/>
      <c r="F435" s="37"/>
      <c r="G435" s="12"/>
      <c r="H435" s="12"/>
      <c r="I435" s="12"/>
      <c r="J435" s="12"/>
      <c r="K435" s="12"/>
      <c r="O435" s="12"/>
      <c r="P435" s="12"/>
      <c r="Q435" s="12"/>
      <c r="R435" s="39" t="e">
        <f>INDEX('Pwr Factor'!$A$1:$B$52,MATCH((D436),'Pwr Factor'!$A$1:$A$52,0),2)</f>
        <v>#N/A</v>
      </c>
      <c r="S435" s="51">
        <v>0.1</v>
      </c>
      <c r="T435" s="12"/>
      <c r="U435" s="12"/>
      <c r="V435" s="12"/>
      <c r="W435" s="12"/>
      <c r="X435" s="12"/>
      <c r="Y435" s="12"/>
      <c r="Z435" s="12"/>
      <c r="AA435" s="12"/>
    </row>
    <row r="436" spans="1:29" ht="13" x14ac:dyDescent="0.3">
      <c r="A436" s="57" t="s">
        <v>173</v>
      </c>
      <c r="B436" s="111">
        <f>IF(AND('AES Indiana Sep 23 Bill Calc.'!$D$17="SL",'AES Indiana Sep 23 Bill Calc.'!$D$18="Yes 10%",'AES Indiana Sep 23 Bill Calc.'!$D$20="No"),'AES Indiana Sep 23 Bill Calc.'!$D$19,-1)</f>
        <v>-1</v>
      </c>
      <c r="C436" s="111">
        <f>MAX(E436,$C$426)</f>
        <v>50</v>
      </c>
      <c r="D436" s="111" t="b">
        <f>IF(AND('AES Indiana Sep 23 Bill Calc.'!$D$17="SL",'AES Indiana Sep 23 Bill Calc.'!$D$18="Yes 10%",'AES Indiana Sep 23 Bill Calc.'!$D$20="No"),'AES Indiana Sep 23 Bill Calc.'!$D$22)</f>
        <v>0</v>
      </c>
      <c r="E436" s="111" t="b">
        <f>IF(AND('AES Indiana Sep 23 Bill Calc.'!$D$17="SL",'AES Indiana Sep 23 Bill Calc.'!$D$18="Yes 10%",'AES Indiana Sep 23 Bill Calc.'!$D$20="No"),'AES Indiana Sep 23 Bill Calc.'!$D$21)</f>
        <v>0</v>
      </c>
      <c r="F436" s="37" t="s">
        <v>36</v>
      </c>
      <c r="G436" s="17" t="e">
        <f>SUM(J436:M436,O436:P436,R436:AA436)</f>
        <v>#N/A</v>
      </c>
      <c r="H436" s="19" t="e">
        <f>IF(ISBLANK(B436),0,+#REF!/B436)</f>
        <v>#REF!</v>
      </c>
      <c r="I436" s="19"/>
      <c r="J436" s="16">
        <f>IF(ISBLANK(B436),0,+J$425)</f>
        <v>118.2</v>
      </c>
      <c r="K436" s="17">
        <f>ROUND($B436*K$425,2)</f>
        <v>-0.04</v>
      </c>
      <c r="N436" s="18">
        <f>K436</f>
        <v>-0.04</v>
      </c>
      <c r="O436" s="17">
        <f>IF($C436&gt;M$426,ROUND(M$426*M$425,2),ROUND($C436*M$425,2))</f>
        <v>1055</v>
      </c>
      <c r="P436" s="17">
        <f>IF($C436&gt;M$426,ROUND(($C436-M$426)*O$425,2),0)</f>
        <v>0</v>
      </c>
      <c r="Q436" s="17">
        <f>SUM(O436:P436)</f>
        <v>1055</v>
      </c>
      <c r="R436" s="16" t="e">
        <f>ROUND(SUM(N436:P436)*(R435-1),2)</f>
        <v>#N/A</v>
      </c>
      <c r="S436" s="17">
        <f>ROUND($B436*S$425*S435,2)</f>
        <v>0</v>
      </c>
      <c r="T436" s="17">
        <f t="shared" si="34"/>
        <v>0</v>
      </c>
      <c r="U436" s="17">
        <f t="shared" si="34"/>
        <v>0</v>
      </c>
      <c r="V436" s="17">
        <f t="shared" si="34"/>
        <v>-0.01</v>
      </c>
      <c r="W436" s="17">
        <f t="shared" si="34"/>
        <v>0</v>
      </c>
      <c r="X436" s="17">
        <f t="shared" si="34"/>
        <v>0</v>
      </c>
      <c r="Y436" s="17">
        <f t="shared" si="34"/>
        <v>0</v>
      </c>
      <c r="Z436" s="17">
        <f t="shared" si="34"/>
        <v>0</v>
      </c>
      <c r="AA436" s="17">
        <f t="shared" si="34"/>
        <v>0</v>
      </c>
      <c r="AB436" s="19">
        <f>SUM(U431:AA431)</f>
        <v>0</v>
      </c>
      <c r="AC436" s="78" t="str">
        <f>+F436</f>
        <v>SL</v>
      </c>
    </row>
    <row r="437" spans="1:29" ht="13" x14ac:dyDescent="0.3">
      <c r="A437" s="9"/>
      <c r="B437" s="111">
        <v>-1</v>
      </c>
      <c r="D437" s="18"/>
      <c r="E437" s="35"/>
      <c r="F437" s="37"/>
      <c r="G437" s="12"/>
      <c r="H437" s="12"/>
      <c r="I437" s="12"/>
      <c r="J437" s="12"/>
      <c r="K437" s="12"/>
      <c r="O437" s="12"/>
      <c r="P437" s="12"/>
      <c r="Q437" s="12"/>
      <c r="R437" s="39" t="e">
        <f>INDEX('Pwr Factor'!$A$1:$B$52,MATCH((D438),'Pwr Factor'!$A$1:$A$52,0),2)</f>
        <v>#N/A</v>
      </c>
      <c r="S437" s="51">
        <v>0</v>
      </c>
      <c r="T437" s="12"/>
      <c r="U437" s="12"/>
      <c r="V437" s="12"/>
      <c r="W437" s="12"/>
      <c r="X437" s="12"/>
      <c r="Y437" s="12"/>
      <c r="Z437" s="12"/>
      <c r="AA437" s="12"/>
    </row>
    <row r="438" spans="1:29" ht="13" x14ac:dyDescent="0.3">
      <c r="A438" s="57" t="s">
        <v>172</v>
      </c>
      <c r="B438" s="111">
        <f>IF(AND('AES Indiana Sep 23 Bill Calc.'!$D$17="SL",'AES Indiana Sep 23 Bill Calc.'!$D$18="No",'AES Indiana Sep 23 Bill Calc.'!$D$20="No"),'AES Indiana Sep 23 Bill Calc.'!$D$19,-1)</f>
        <v>-1</v>
      </c>
      <c r="C438" s="111">
        <f>MAX(E438,$C$426)</f>
        <v>50</v>
      </c>
      <c r="D438" s="111" t="b">
        <f>IF(AND('AES Indiana Sep 23 Bill Calc.'!$D$17="SL",'AES Indiana Sep 23 Bill Calc.'!$D$18="No",'AES Indiana Sep 23 Bill Calc.'!$D$20="No"),'AES Indiana Sep 23 Bill Calc.'!$D$22)</f>
        <v>0</v>
      </c>
      <c r="E438" s="111" t="b">
        <f>IF(AND('AES Indiana Sep 23 Bill Calc.'!$D$17="SL",'AES Indiana Sep 23 Bill Calc.'!$D$18="No",'AES Indiana Sep 23 Bill Calc.'!$D$20="No"),'AES Indiana Sep 23 Bill Calc.'!$D$21)</f>
        <v>0</v>
      </c>
      <c r="F438" s="37" t="s">
        <v>36</v>
      </c>
      <c r="G438" s="17" t="e">
        <f>SUM(J438:M438,O438:P438,R438:AA438)</f>
        <v>#N/A</v>
      </c>
      <c r="H438" s="19" t="e">
        <f>IF(ISBLANK(B438),0,+#REF!/B438)</f>
        <v>#REF!</v>
      </c>
      <c r="I438" s="19"/>
      <c r="J438" s="16">
        <f>IF(ISBLANK(B438),0,+J$425)</f>
        <v>118.2</v>
      </c>
      <c r="K438" s="17">
        <f>ROUND($B438*K$425,2)</f>
        <v>-0.04</v>
      </c>
      <c r="N438" s="18">
        <f>K438</f>
        <v>-0.04</v>
      </c>
      <c r="O438" s="17">
        <f>IF($C438&gt;M$426,ROUND(M$426*M$425,2),ROUND($C438*M$425,2))</f>
        <v>1055</v>
      </c>
      <c r="P438" s="17">
        <f>IF($C438&gt;M$426,ROUND(($C438-M$426)*O$425,2),0)</f>
        <v>0</v>
      </c>
      <c r="Q438" s="17">
        <f>SUM(O438:P438)</f>
        <v>1055</v>
      </c>
      <c r="R438" s="16" t="e">
        <f>ROUND(SUM(N438:P438)*(R437-1),2)</f>
        <v>#N/A</v>
      </c>
      <c r="S438" s="17">
        <f>ROUND($B438*S$425*S437,2)</f>
        <v>0</v>
      </c>
      <c r="T438" s="17">
        <f t="shared" si="34"/>
        <v>0</v>
      </c>
      <c r="U438" s="17">
        <f t="shared" si="34"/>
        <v>0</v>
      </c>
      <c r="V438" s="17">
        <f>ROUND($B438*V$425,2)</f>
        <v>-0.01</v>
      </c>
      <c r="W438" s="17">
        <f t="shared" si="34"/>
        <v>0</v>
      </c>
      <c r="X438" s="17">
        <f t="shared" si="34"/>
        <v>0</v>
      </c>
      <c r="Y438" s="17">
        <f t="shared" si="34"/>
        <v>0</v>
      </c>
      <c r="Z438" s="17">
        <f t="shared" si="34"/>
        <v>0</v>
      </c>
      <c r="AA438" s="17">
        <f t="shared" si="34"/>
        <v>0</v>
      </c>
      <c r="AB438" s="19">
        <f>SUM(U433:AA433)</f>
        <v>0</v>
      </c>
      <c r="AC438" s="78" t="str">
        <f>+F438</f>
        <v>SL</v>
      </c>
    </row>
    <row r="439" spans="1:29" ht="13" x14ac:dyDescent="0.3">
      <c r="B439" s="111">
        <v>-1</v>
      </c>
      <c r="D439" s="8"/>
      <c r="E439" s="9"/>
      <c r="F439" s="37"/>
      <c r="G439" s="17"/>
      <c r="H439" s="19"/>
      <c r="I439" s="19"/>
      <c r="J439" s="16"/>
      <c r="K439" s="17"/>
      <c r="O439" s="17"/>
      <c r="P439" s="17"/>
      <c r="Q439" s="17"/>
      <c r="R439" s="39" t="e">
        <f>VLOOKUP((D440),'Pwr Factor'!$A$1:$B$52,2)</f>
        <v>#N/A</v>
      </c>
      <c r="S439" s="51">
        <v>1</v>
      </c>
      <c r="T439" s="17"/>
      <c r="U439" s="17"/>
      <c r="V439" s="8"/>
      <c r="W439" s="17"/>
      <c r="X439" s="17"/>
      <c r="Y439" s="17"/>
      <c r="Z439" s="17"/>
      <c r="AA439" s="17"/>
      <c r="AB439" s="19"/>
      <c r="AC439" s="78"/>
    </row>
    <row r="440" spans="1:29" ht="13" x14ac:dyDescent="0.3">
      <c r="A440" s="1" t="s">
        <v>73</v>
      </c>
      <c r="B440" s="111">
        <f>IF(AND('AES Indiana Sep 23 Bill Calc.'!$D$17="SL",'AES Indiana Sep 23 Bill Calc.'!$D$18="Yes 100%",'AES Indiana Sep 23 Bill Calc.'!$D$20="Yes Before 2018"),'AES Indiana Sep 23 Bill Calc.'!$D$19,-1)</f>
        <v>-1</v>
      </c>
      <c r="C440" s="111">
        <f>MAX(E440,$C$426)</f>
        <v>50</v>
      </c>
      <c r="D440" s="111" t="b">
        <f>IF(AND('AES Indiana Sep 23 Bill Calc.'!$D$17="SL",'AES Indiana Sep 23 Bill Calc.'!$D$18="Yes 100%",'AES Indiana Sep 23 Bill Calc.'!$D$20="Yes Before 2018"),'AES Indiana Sep 23 Bill Calc.'!$D$22)</f>
        <v>0</v>
      </c>
      <c r="E440" s="111" t="b">
        <f>IF(AND('AES Indiana Sep 23 Bill Calc.'!$D$17="SL",'AES Indiana Sep 23 Bill Calc.'!$D$18="Yes 100%",'AES Indiana Sep 23 Bill Calc.'!$D$20="Yes Before 2018"),'AES Indiana Sep 23 Bill Calc.'!$D$21)</f>
        <v>0</v>
      </c>
      <c r="F440" s="37" t="s">
        <v>112</v>
      </c>
      <c r="G440" s="17" t="e">
        <f>SUM(J440:M440,O440:P440,R440:AA440)</f>
        <v>#N/A</v>
      </c>
      <c r="H440" s="19" t="e">
        <f>IF(ISBLANK(B440),0,+#REF!/B440)</f>
        <v>#REF!</v>
      </c>
      <c r="J440" s="101">
        <f>IF(ISBLANK(B440),0,+J$425)</f>
        <v>118.2</v>
      </c>
      <c r="K440" s="43">
        <f>ROUND($B440*K$425,2)</f>
        <v>-0.04</v>
      </c>
      <c r="N440" s="18">
        <f>K440</f>
        <v>-0.04</v>
      </c>
      <c r="O440" s="17">
        <f>IF($C440&gt;M$426,ROUND(M$426*M$425,2),ROUND($C440*M$425,2))</f>
        <v>1055</v>
      </c>
      <c r="P440" s="17">
        <f>IF($C440&gt;M$426,ROUND(($C440-M$426)*O$425,2),0)</f>
        <v>0</v>
      </c>
      <c r="Q440" s="17">
        <f>SUM(O440:P440)</f>
        <v>1055</v>
      </c>
      <c r="R440" s="16" t="e">
        <f>ROUND(SUM(N440:P440)*(R439-1),2)</f>
        <v>#N/A</v>
      </c>
      <c r="S440" s="43">
        <f>ROUND($B440*S$425*S439,2)</f>
        <v>0</v>
      </c>
      <c r="T440" s="43">
        <f>ROUND($B440*T$425,2)</f>
        <v>0</v>
      </c>
      <c r="U440" s="43">
        <f>ROUND($B440*U$425,2)</f>
        <v>0</v>
      </c>
      <c r="V440" s="42">
        <f>ROUND($B440*V$418,2)</f>
        <v>0</v>
      </c>
      <c r="W440" s="43">
        <f>ROUND($B440*W$425,2)</f>
        <v>0</v>
      </c>
      <c r="X440" s="43">
        <f>ROUND($B440*X$425,2)</f>
        <v>0</v>
      </c>
      <c r="Y440" s="43">
        <f>ROUND($B440*Y$425,2)</f>
        <v>0</v>
      </c>
      <c r="Z440" s="43">
        <f>ROUND($B440*Z$425,2)</f>
        <v>0</v>
      </c>
      <c r="AA440" s="43">
        <f>ROUND($B440*AA$425,2)</f>
        <v>0</v>
      </c>
      <c r="AB440" s="19">
        <f>SUM(U$425:AA$425)+(-V$425+V418)</f>
        <v>3.5359999999999983E-3</v>
      </c>
      <c r="AC440" s="115" t="str">
        <f>+F440</f>
        <v>SL7</v>
      </c>
    </row>
    <row r="441" spans="1:29" ht="13" x14ac:dyDescent="0.3">
      <c r="A441" s="9"/>
      <c r="B441" s="111">
        <v>-1</v>
      </c>
      <c r="D441" s="8"/>
      <c r="E441" s="9"/>
      <c r="F441" s="37"/>
      <c r="G441" s="17"/>
      <c r="H441" s="19"/>
      <c r="I441" s="19"/>
      <c r="J441" s="16"/>
      <c r="K441" s="17"/>
      <c r="O441" s="17"/>
      <c r="P441" s="17"/>
      <c r="Q441" s="17"/>
      <c r="R441" s="39" t="e">
        <f>VLOOKUP((D442),'Pwr Factor'!$A$1:$B$52,2)</f>
        <v>#N/A</v>
      </c>
      <c r="S441" s="51">
        <v>0.5</v>
      </c>
      <c r="T441" s="17"/>
      <c r="U441" s="17"/>
      <c r="V441" s="8"/>
      <c r="W441" s="17"/>
      <c r="X441" s="17"/>
      <c r="Y441" s="17"/>
      <c r="Z441" s="17"/>
      <c r="AA441" s="17"/>
      <c r="AB441" s="19"/>
      <c r="AC441" s="78"/>
    </row>
    <row r="442" spans="1:29" ht="13" x14ac:dyDescent="0.3">
      <c r="A442" s="57" t="s">
        <v>171</v>
      </c>
      <c r="B442" s="111">
        <f>IF(AND('AES Indiana Sep 23 Bill Calc.'!$D$17="SL",'AES Indiana Sep 23 Bill Calc.'!$D$18="Yes 50%",'AES Indiana Sep 23 Bill Calc.'!$D$20="Yes Before 2018"),'AES Indiana Sep 23 Bill Calc.'!$D$19,-1)</f>
        <v>-1</v>
      </c>
      <c r="C442" s="111">
        <f>MAX(E442,$C$426)</f>
        <v>50</v>
      </c>
      <c r="D442" s="111" t="b">
        <f>IF(AND('AES Indiana Sep 23 Bill Calc.'!$D$17="SL",'AES Indiana Sep 23 Bill Calc.'!$D$18="Yes 50%",'AES Indiana Sep 23 Bill Calc.'!$D$20="Yes Before 2018"),'AES Indiana Sep 23 Bill Calc.'!$D$22)</f>
        <v>0</v>
      </c>
      <c r="E442" s="111" t="b">
        <f>IF(AND('AES Indiana Sep 23 Bill Calc.'!$D$17="SL",'AES Indiana Sep 23 Bill Calc.'!$D$18="Yes 50%",'AES Indiana Sep 23 Bill Calc.'!$D$20="Yes Before 2018"),'AES Indiana Sep 23 Bill Calc.'!$D$21)</f>
        <v>0</v>
      </c>
      <c r="F442" s="37" t="s">
        <v>112</v>
      </c>
      <c r="G442" s="17" t="e">
        <f>SUM(J442:M442,O442:P442,R442:AA442)</f>
        <v>#N/A</v>
      </c>
      <c r="H442" s="19" t="e">
        <f>IF(ISBLANK(B442),0,+#REF!/B442)</f>
        <v>#REF!</v>
      </c>
      <c r="J442" s="101">
        <f>IF(ISBLANK(B442),0,+J$425)</f>
        <v>118.2</v>
      </c>
      <c r="K442" s="43">
        <f>ROUND($B442*K$425,2)</f>
        <v>-0.04</v>
      </c>
      <c r="N442" s="18">
        <f>K442</f>
        <v>-0.04</v>
      </c>
      <c r="O442" s="17">
        <f>IF($C442&gt;M$426,ROUND(M$426*M$425,2),ROUND($C442*M$425,2))</f>
        <v>1055</v>
      </c>
      <c r="P442" s="17">
        <f>IF($C442&gt;M$426,ROUND(($C442-M$426)*O$425,2),0)</f>
        <v>0</v>
      </c>
      <c r="Q442" s="17">
        <f>SUM(O442:P442)</f>
        <v>1055</v>
      </c>
      <c r="R442" s="16" t="e">
        <f>ROUND(SUM(N442:P442)*(R441-1),2)</f>
        <v>#N/A</v>
      </c>
      <c r="S442" s="43">
        <f>ROUND($B442*S$425*S441,2)</f>
        <v>0</v>
      </c>
      <c r="T442" s="43">
        <f>ROUND($B442*T$425,2)</f>
        <v>0</v>
      </c>
      <c r="U442" s="43">
        <f>ROUND($B442*U$425,2)</f>
        <v>0</v>
      </c>
      <c r="V442" s="42">
        <f>ROUND($B442*V$418,2)</f>
        <v>0</v>
      </c>
      <c r="W442" s="43">
        <f>ROUND($B442*W$425,2)</f>
        <v>0</v>
      </c>
      <c r="X442" s="43">
        <f>ROUND($B442*X$425,2)</f>
        <v>0</v>
      </c>
      <c r="Y442" s="43">
        <f>ROUND($B442*Y$425,2)</f>
        <v>0</v>
      </c>
      <c r="Z442" s="43">
        <f>ROUND($B442*Z$425,2)</f>
        <v>0</v>
      </c>
      <c r="AA442" s="43">
        <f>ROUND($B442*AA$425,2)</f>
        <v>0</v>
      </c>
      <c r="AB442" s="19">
        <f>SUM(U$425:AA$425)+(-V$425+V420)</f>
        <v>4.0239999999999981E-3</v>
      </c>
      <c r="AC442" s="115" t="str">
        <f>+F442</f>
        <v>SL7</v>
      </c>
    </row>
    <row r="443" spans="1:29" ht="13" x14ac:dyDescent="0.3">
      <c r="A443" s="9"/>
      <c r="B443" s="111">
        <v>-1</v>
      </c>
      <c r="D443" s="8"/>
      <c r="E443" s="9"/>
      <c r="F443" s="37"/>
      <c r="G443" s="17"/>
      <c r="H443" s="19"/>
      <c r="I443" s="19"/>
      <c r="J443" s="16"/>
      <c r="K443" s="17"/>
      <c r="O443" s="17"/>
      <c r="P443" s="17"/>
      <c r="Q443" s="17"/>
      <c r="R443" s="39" t="e">
        <f>VLOOKUP((D444),'Pwr Factor'!$A$1:$B$52,2)</f>
        <v>#N/A</v>
      </c>
      <c r="S443" s="51">
        <v>0.25</v>
      </c>
      <c r="T443" s="17"/>
      <c r="U443" s="17"/>
      <c r="V443" s="8"/>
      <c r="W443" s="17"/>
      <c r="X443" s="17"/>
      <c r="Y443" s="17"/>
      <c r="Z443" s="17"/>
      <c r="AA443" s="17"/>
      <c r="AB443" s="19"/>
      <c r="AC443" s="78"/>
    </row>
    <row r="444" spans="1:29" ht="13" x14ac:dyDescent="0.3">
      <c r="A444" s="57" t="s">
        <v>158</v>
      </c>
      <c r="B444" s="111">
        <f>IF(AND('AES Indiana Sep 23 Bill Calc.'!$D$17="SL",'AES Indiana Sep 23 Bill Calc.'!$D$18="Yes 25%",'AES Indiana Sep 23 Bill Calc.'!$D$20="Yes Before 2018"),'AES Indiana Sep 23 Bill Calc.'!$D$19,-1)</f>
        <v>-1</v>
      </c>
      <c r="C444" s="111">
        <f>MAX(E444,$C$426)</f>
        <v>50</v>
      </c>
      <c r="D444" s="111" t="b">
        <f>IF(AND('AES Indiana Sep 23 Bill Calc.'!$D$17="SL",'AES Indiana Sep 23 Bill Calc.'!$D$18="Yes 25%",'AES Indiana Sep 23 Bill Calc.'!$D$20="Yes Before 2018"),'AES Indiana Sep 23 Bill Calc.'!$D$22)</f>
        <v>0</v>
      </c>
      <c r="E444" s="111" t="b">
        <f>IF(AND('AES Indiana Sep 23 Bill Calc.'!$D$17="SL",'AES Indiana Sep 23 Bill Calc.'!$D$18="Yes 25%",'AES Indiana Sep 23 Bill Calc.'!$D$20="Yes Before 2018"),'AES Indiana Sep 23 Bill Calc.'!$D$21)</f>
        <v>0</v>
      </c>
      <c r="F444" s="37" t="s">
        <v>112</v>
      </c>
      <c r="G444" s="17" t="e">
        <f>SUM(J444:M444,O444:P444,R444:AA444)</f>
        <v>#N/A</v>
      </c>
      <c r="H444" s="19" t="e">
        <f>IF(ISBLANK(B444),0,+#REF!/B444)</f>
        <v>#REF!</v>
      </c>
      <c r="J444" s="101">
        <f>IF(ISBLANK(B444),0,+J$425)</f>
        <v>118.2</v>
      </c>
      <c r="K444" s="43">
        <f>ROUND($B444*K$425,2)</f>
        <v>-0.04</v>
      </c>
      <c r="N444" s="18">
        <f>K444</f>
        <v>-0.04</v>
      </c>
      <c r="O444" s="17">
        <f>IF($C444&gt;M$426,ROUND(M$426*M$425,2),ROUND($C444*M$425,2))</f>
        <v>1055</v>
      </c>
      <c r="P444" s="17">
        <f>IF($C444&gt;M$426,ROUND(($C444-M$426)*O$425,2),0)</f>
        <v>0</v>
      </c>
      <c r="Q444" s="17">
        <f>SUM(O444:P444)</f>
        <v>1055</v>
      </c>
      <c r="R444" s="16" t="e">
        <f>ROUND(SUM(N444:P444)*(R443-1),2)</f>
        <v>#N/A</v>
      </c>
      <c r="S444" s="43">
        <f>ROUND($B444*S$425*S443,2)</f>
        <v>0</v>
      </c>
      <c r="T444" s="43">
        <f>ROUND($B444*T$425,2)</f>
        <v>0</v>
      </c>
      <c r="U444" s="43">
        <f>ROUND($B444*U$425,2)</f>
        <v>0</v>
      </c>
      <c r="V444" s="42">
        <f>ROUND($B444*V$418,2)</f>
        <v>0</v>
      </c>
      <c r="W444" s="43">
        <f>ROUND($B444*W$425,2)</f>
        <v>0</v>
      </c>
      <c r="X444" s="43">
        <f>ROUND($B444*X$425,2)</f>
        <v>0</v>
      </c>
      <c r="Y444" s="43">
        <f>ROUND($B444*Y$425,2)</f>
        <v>0</v>
      </c>
      <c r="Z444" s="43">
        <f>ROUND($B444*Z$425,2)</f>
        <v>0</v>
      </c>
      <c r="AA444" s="43">
        <f>ROUND($B444*AA$425,2)</f>
        <v>0</v>
      </c>
      <c r="AB444" s="19">
        <f>SUM(U$425:AA$425)+(-V$425+V422)</f>
        <v>5.2989999999999982E-3</v>
      </c>
      <c r="AC444" s="115" t="str">
        <f>+F444</f>
        <v>SL7</v>
      </c>
    </row>
    <row r="445" spans="1:29" ht="13" x14ac:dyDescent="0.3">
      <c r="A445" s="9"/>
      <c r="B445" s="111">
        <v>-1</v>
      </c>
      <c r="D445" s="8"/>
      <c r="E445" s="9"/>
      <c r="F445" s="37"/>
      <c r="G445" s="17"/>
      <c r="H445" s="19"/>
      <c r="I445" s="19"/>
      <c r="J445" s="16"/>
      <c r="K445" s="17"/>
      <c r="O445" s="17"/>
      <c r="P445" s="17"/>
      <c r="Q445" s="17"/>
      <c r="R445" s="39" t="e">
        <f>VLOOKUP((D446),'Pwr Factor'!$A$1:$B$52,2)</f>
        <v>#N/A</v>
      </c>
      <c r="S445" s="51">
        <v>0.1</v>
      </c>
      <c r="T445" s="17"/>
      <c r="U445" s="17"/>
      <c r="V445" s="8"/>
      <c r="W445" s="17"/>
      <c r="X445" s="17"/>
      <c r="Y445" s="17"/>
      <c r="Z445" s="17"/>
      <c r="AA445" s="17"/>
      <c r="AB445" s="19"/>
      <c r="AC445" s="78"/>
    </row>
    <row r="446" spans="1:29" ht="13" x14ac:dyDescent="0.3">
      <c r="A446" s="57" t="s">
        <v>173</v>
      </c>
      <c r="B446" s="111">
        <f>IF(AND('AES Indiana Sep 23 Bill Calc.'!$D$17="SL",'AES Indiana Sep 23 Bill Calc.'!$D$18="Yes 10%",'AES Indiana Sep 23 Bill Calc.'!$D$20="Yes Before 2018"),'AES Indiana Sep 23 Bill Calc.'!$D$19,-1)</f>
        <v>-1</v>
      </c>
      <c r="C446" s="111">
        <f>MAX(E446,$C$426)</f>
        <v>50</v>
      </c>
      <c r="D446" s="111" t="b">
        <f>IF(AND('AES Indiana Sep 23 Bill Calc.'!$D$17="SL",'AES Indiana Sep 23 Bill Calc.'!$D$18="Yes 10%",'AES Indiana Sep 23 Bill Calc.'!$D$20="Yes Before 2018"),'AES Indiana Sep 23 Bill Calc.'!$D$22)</f>
        <v>0</v>
      </c>
      <c r="E446" s="111" t="b">
        <f>IF(AND('AES Indiana Sep 23 Bill Calc.'!$D$17="SL",'AES Indiana Sep 23 Bill Calc.'!$D$18="Yes 10%",'AES Indiana Sep 23 Bill Calc.'!$D$20="Yes Before 2018"),'AES Indiana Sep 23 Bill Calc.'!$D$21)</f>
        <v>0</v>
      </c>
      <c r="F446" s="37" t="s">
        <v>112</v>
      </c>
      <c r="G446" s="17" t="e">
        <f>SUM(J446:M446,O446:P446,R446:AA446)</f>
        <v>#N/A</v>
      </c>
      <c r="H446" s="19" t="e">
        <f>IF(ISBLANK(B446),0,+#REF!/B446)</f>
        <v>#REF!</v>
      </c>
      <c r="J446" s="101">
        <f>IF(ISBLANK(B446),0,+J$425)</f>
        <v>118.2</v>
      </c>
      <c r="K446" s="43">
        <f>ROUND($B446*K$425,2)</f>
        <v>-0.04</v>
      </c>
      <c r="N446" s="18">
        <f>K446</f>
        <v>-0.04</v>
      </c>
      <c r="O446" s="17">
        <f>IF($C446&gt;M$426,ROUND(M$426*M$425,2),ROUND($C446*M$425,2))</f>
        <v>1055</v>
      </c>
      <c r="P446" s="17">
        <f>IF($C446&gt;M$426,ROUND(($C446-M$426)*O$425,2),0)</f>
        <v>0</v>
      </c>
      <c r="Q446" s="17">
        <f>SUM(O446:P446)</f>
        <v>1055</v>
      </c>
      <c r="R446" s="16" t="e">
        <f>ROUND(SUM(N446:P446)*(R445-1),2)</f>
        <v>#N/A</v>
      </c>
      <c r="S446" s="43">
        <f>ROUND($B446*S$425*S445,2)</f>
        <v>0</v>
      </c>
      <c r="T446" s="43">
        <f>ROUND($B446*T$425,2)</f>
        <v>0</v>
      </c>
      <c r="U446" s="43">
        <f>ROUND($B446*U$425,2)</f>
        <v>0</v>
      </c>
      <c r="V446" s="42">
        <f>ROUND($B446*V$418,2)</f>
        <v>0</v>
      </c>
      <c r="W446" s="43">
        <f>ROUND($B446*W$425,2)</f>
        <v>0</v>
      </c>
      <c r="X446" s="43">
        <f>ROUND($B446*X$425,2)</f>
        <v>0</v>
      </c>
      <c r="Y446" s="43">
        <f>ROUND($B446*Y$425,2)</f>
        <v>0</v>
      </c>
      <c r="Z446" s="43">
        <f>ROUND($B446*Z$425,2)</f>
        <v>0</v>
      </c>
      <c r="AA446" s="43">
        <f>ROUND($B446*AA$425,2)</f>
        <v>0</v>
      </c>
      <c r="AB446" s="19">
        <f>SUM(U$425:AA$425)+(-V$425+V426)</f>
        <v>3.5359999999999983E-3</v>
      </c>
      <c r="AC446" s="115" t="str">
        <f>+F446</f>
        <v>SL7</v>
      </c>
    </row>
    <row r="447" spans="1:29" ht="13" x14ac:dyDescent="0.3">
      <c r="A447" s="9"/>
      <c r="B447" s="111">
        <v>-1</v>
      </c>
      <c r="D447" s="8"/>
      <c r="E447" s="9"/>
      <c r="F447" s="37"/>
      <c r="G447" s="17"/>
      <c r="H447" s="19"/>
      <c r="I447" s="19"/>
      <c r="J447" s="16"/>
      <c r="K447" s="17"/>
      <c r="O447" s="17"/>
      <c r="P447" s="17"/>
      <c r="Q447" s="17"/>
      <c r="R447" s="39" t="e">
        <f>VLOOKUP((D448),'Pwr Factor'!$A$1:$B$52,2)</f>
        <v>#N/A</v>
      </c>
      <c r="S447" s="51">
        <v>0</v>
      </c>
      <c r="T447" s="17"/>
      <c r="U447" s="17"/>
      <c r="V447" s="8"/>
      <c r="W447" s="17"/>
      <c r="X447" s="17"/>
      <c r="Y447" s="17"/>
      <c r="Z447" s="17"/>
      <c r="AA447" s="17"/>
      <c r="AB447" s="19"/>
      <c r="AC447" s="78"/>
    </row>
    <row r="448" spans="1:29" ht="13" x14ac:dyDescent="0.3">
      <c r="A448" s="57" t="s">
        <v>172</v>
      </c>
      <c r="B448" s="111">
        <f>IF(AND('AES Indiana Sep 23 Bill Calc.'!$D$17="SL",'AES Indiana Sep 23 Bill Calc.'!$D$18="No",'AES Indiana Sep 23 Bill Calc.'!$D$20="Yes Before 2018"),'AES Indiana Sep 23 Bill Calc.'!$D$19,-1)</f>
        <v>-1</v>
      </c>
      <c r="C448" s="111">
        <f>MAX(E448,$C$426)</f>
        <v>50</v>
      </c>
      <c r="D448" s="111" t="b">
        <f>IF(AND('AES Indiana Sep 23 Bill Calc.'!$D$17="SL",'AES Indiana Sep 23 Bill Calc.'!$D$18="No",'AES Indiana Sep 23 Bill Calc.'!$D$20="Yes Before 2018"),'AES Indiana Sep 23 Bill Calc.'!$D$22)</f>
        <v>0</v>
      </c>
      <c r="E448" s="111" t="b">
        <f>IF(AND('AES Indiana Sep 23 Bill Calc.'!$D$17="SL",'AES Indiana Sep 23 Bill Calc.'!$D$18="No",'AES Indiana Sep 23 Bill Calc.'!$D$20="Yes Before 2018"),'AES Indiana Sep 23 Bill Calc.'!$D$21)</f>
        <v>0</v>
      </c>
      <c r="F448" s="37" t="s">
        <v>112</v>
      </c>
      <c r="G448" s="17" t="e">
        <f>SUM(J448:M448,O448:P448,R448:AA448)</f>
        <v>#N/A</v>
      </c>
      <c r="H448" s="19" t="e">
        <f>IF(ISBLANK(B448),0,+#REF!/B448)</f>
        <v>#REF!</v>
      </c>
      <c r="J448" s="101">
        <f>IF(ISBLANK(B448),0,+J$425)</f>
        <v>118.2</v>
      </c>
      <c r="K448" s="43">
        <f>ROUND($B448*K$425,2)</f>
        <v>-0.04</v>
      </c>
      <c r="N448" s="18">
        <f>K448</f>
        <v>-0.04</v>
      </c>
      <c r="O448" s="17">
        <f>IF($C448&gt;M$426,ROUND(M$426*M$425,2),ROUND($C448*M$425,2))</f>
        <v>1055</v>
      </c>
      <c r="P448" s="17">
        <f>IF($C448&gt;M$426,ROUND(($C448-M$426)*O$425,2),0)</f>
        <v>0</v>
      </c>
      <c r="Q448" s="17">
        <f>SUM(O448:P448)</f>
        <v>1055</v>
      </c>
      <c r="R448" s="16" t="e">
        <f>ROUND(SUM(N448:P448)*(R447-1),2)</f>
        <v>#N/A</v>
      </c>
      <c r="S448" s="43">
        <f>ROUND($B448*S$425*S447,2)</f>
        <v>0</v>
      </c>
      <c r="T448" s="43">
        <f>ROUND($B448*T$425,2)</f>
        <v>0</v>
      </c>
      <c r="U448" s="43">
        <f>ROUND($B448*U$425,2)</f>
        <v>0</v>
      </c>
      <c r="V448" s="42">
        <f>ROUND($B448*V$418,2)</f>
        <v>0</v>
      </c>
      <c r="W448" s="43">
        <f>ROUND($B448*W$425,2)</f>
        <v>0</v>
      </c>
      <c r="X448" s="43">
        <f>ROUND($B448*X$425,2)</f>
        <v>0</v>
      </c>
      <c r="Y448" s="43">
        <f>ROUND($B448*Y$425,2)</f>
        <v>0</v>
      </c>
      <c r="Z448" s="43">
        <f>ROUND($B448*Z$425,2)</f>
        <v>0</v>
      </c>
      <c r="AA448" s="43">
        <f>ROUND($B448*AA$425,2)</f>
        <v>0</v>
      </c>
      <c r="AB448" s="19" t="e">
        <f>SUM(U$425:AA$425)+(-V$425+V428)</f>
        <v>#VALUE!</v>
      </c>
      <c r="AC448" s="115" t="str">
        <f>+F448</f>
        <v>SL7</v>
      </c>
    </row>
    <row r="449" spans="1:29" ht="13" x14ac:dyDescent="0.3">
      <c r="B449" s="111">
        <v>-1</v>
      </c>
      <c r="D449" s="33"/>
      <c r="E449" s="127"/>
      <c r="F449" s="37"/>
      <c r="G449" s="113"/>
      <c r="H449" s="19"/>
      <c r="I449" s="19"/>
      <c r="J449" s="16"/>
      <c r="K449" s="17"/>
      <c r="O449" s="17"/>
      <c r="P449" s="17"/>
      <c r="Q449" s="17"/>
      <c r="R449" s="39" t="e">
        <f>INDEX('Pwr Factor'!$A$1:$B$52,MATCH((D450),'Pwr Factor'!$A$1:$A$52,0),2)</f>
        <v>#N/A</v>
      </c>
      <c r="S449" s="51">
        <v>1</v>
      </c>
      <c r="T449" s="17"/>
      <c r="U449" s="17"/>
      <c r="V449" s="8"/>
      <c r="W449" s="17"/>
      <c r="X449" s="17"/>
      <c r="Y449" s="17"/>
      <c r="Z449" s="17"/>
      <c r="AA449" s="17"/>
      <c r="AB449" s="19"/>
      <c r="AC449" s="78"/>
    </row>
    <row r="450" spans="1:29" ht="13" x14ac:dyDescent="0.3">
      <c r="A450" s="1" t="s">
        <v>73</v>
      </c>
      <c r="B450" s="111">
        <f>IF(AND('AES Indiana Sep 23 Bill Calc.'!$D$17="SL",'AES Indiana Sep 23 Bill Calc.'!$D$18="Yes 100%",'AES Indiana Sep 23 Bill Calc.'!$D$20="Yes 2018"),'AES Indiana Sep 23 Bill Calc.'!$D$19,-1)</f>
        <v>-1</v>
      </c>
      <c r="C450" s="111">
        <f>MAX(E450,$C$426)</f>
        <v>50</v>
      </c>
      <c r="D450" s="111" t="b">
        <f>IF(AND('AES Indiana Sep 23 Bill Calc.'!$D$17="SL",'AES Indiana Sep 23 Bill Calc.'!$D$18="Yes 100%",'AES Indiana Sep 23 Bill Calc.'!$D$20="Yes 2018"),'AES Indiana Sep 23 Bill Calc.'!$D$22)</f>
        <v>0</v>
      </c>
      <c r="E450" s="111" t="b">
        <f>IF(AND('AES Indiana Sep 23 Bill Calc.'!$D$17="SL",'AES Indiana Sep 23 Bill Calc.'!$D$18="Yes 100%",'AES Indiana Sep 23 Bill Calc.'!$D$20="Yes 2018"),'AES Indiana Sep 23 Bill Calc.'!$D$21)</f>
        <v>0</v>
      </c>
      <c r="F450" s="37" t="s">
        <v>125</v>
      </c>
      <c r="G450" s="17" t="e">
        <f>SUM(J450:M450,O450:P450,R450:AA450)</f>
        <v>#N/A</v>
      </c>
      <c r="H450" s="19" t="e">
        <f>IF(ISBLANK(B450),0,+#REF!/B450)</f>
        <v>#REF!</v>
      </c>
      <c r="J450" s="101">
        <f>IF(ISBLANK(B450),0,+J$425)</f>
        <v>118.2</v>
      </c>
      <c r="K450" s="43">
        <f>ROUND($B450*K$425,2)</f>
        <v>-0.04</v>
      </c>
      <c r="N450" s="18">
        <f>K450</f>
        <v>-0.04</v>
      </c>
      <c r="O450" s="17">
        <f>IF($C450&gt;M$426,ROUND(M$426*M$425,2),ROUND($C450*M$425,2))</f>
        <v>1055</v>
      </c>
      <c r="P450" s="17">
        <f>IF($C450&gt;M$426,ROUND(($C450-M$426)*O$425,2),0)</f>
        <v>0</v>
      </c>
      <c r="Q450" s="17">
        <f>SUM(O450:P450)</f>
        <v>1055</v>
      </c>
      <c r="R450" s="16" t="e">
        <f>ROUND(SUM(N450:P450)*(R449-1),2)</f>
        <v>#N/A</v>
      </c>
      <c r="S450" s="43">
        <f>ROUND($B450*S$425*S449,2)</f>
        <v>0</v>
      </c>
      <c r="T450" s="43">
        <f>ROUND($B450*T$425,2)</f>
        <v>0</v>
      </c>
      <c r="U450" s="43">
        <f>ROUND($B450*U$425,2)</f>
        <v>0</v>
      </c>
      <c r="V450" s="42">
        <f>ROUND($B450*$V$419,2)</f>
        <v>0</v>
      </c>
      <c r="W450" s="43">
        <f>ROUND($B450*W$425,2)</f>
        <v>0</v>
      </c>
      <c r="X450" s="43">
        <f>ROUND($B450*X$425,2)</f>
        <v>0</v>
      </c>
      <c r="Y450" s="43">
        <f>ROUND($B450*Y$425,2)</f>
        <v>0</v>
      </c>
      <c r="Z450" s="43">
        <f>ROUND($B450*Z$425,2)</f>
        <v>0</v>
      </c>
      <c r="AA450" s="43">
        <f>ROUND($B450*AA$425,2)</f>
        <v>0</v>
      </c>
      <c r="AB450" s="19">
        <f>SUM(U$425:AA$425)+(-V$425+V426)</f>
        <v>3.5359999999999983E-3</v>
      </c>
      <c r="AC450" s="115" t="str">
        <f>+F450</f>
        <v>SL8</v>
      </c>
    </row>
    <row r="451" spans="1:29" ht="13" x14ac:dyDescent="0.3">
      <c r="A451" s="9"/>
      <c r="B451" s="111">
        <v>-1</v>
      </c>
      <c r="D451" s="33"/>
      <c r="E451" s="127"/>
      <c r="F451" s="37"/>
      <c r="G451" s="113"/>
      <c r="H451" s="19"/>
      <c r="I451" s="19"/>
      <c r="J451" s="16"/>
      <c r="K451" s="17"/>
      <c r="O451" s="17"/>
      <c r="P451" s="17"/>
      <c r="Q451" s="17"/>
      <c r="R451" s="39" t="e">
        <f>INDEX('Pwr Factor'!$A$1:$B$52,MATCH((D452),'Pwr Factor'!$A$1:$A$52,0),2)</f>
        <v>#N/A</v>
      </c>
      <c r="S451" s="51">
        <v>0.5</v>
      </c>
      <c r="T451" s="17"/>
      <c r="U451" s="17"/>
      <c r="V451" s="8"/>
      <c r="W451" s="17"/>
      <c r="X451" s="17"/>
      <c r="Y451" s="17"/>
      <c r="Z451" s="17"/>
      <c r="AA451" s="17"/>
      <c r="AB451" s="19"/>
      <c r="AC451" s="78"/>
    </row>
    <row r="452" spans="1:29" ht="13" x14ac:dyDescent="0.3">
      <c r="A452" s="57" t="s">
        <v>171</v>
      </c>
      <c r="B452" s="111">
        <f>IF(AND('AES Indiana Sep 23 Bill Calc.'!$D$17="SL",'AES Indiana Sep 23 Bill Calc.'!$D$18="Yes 50%",'AES Indiana Sep 23 Bill Calc.'!$D$20="Yes 2018"),'AES Indiana Sep 23 Bill Calc.'!$D$19,-1)</f>
        <v>-1</v>
      </c>
      <c r="C452" s="111">
        <f>MAX(E452,$C$426)</f>
        <v>50</v>
      </c>
      <c r="D452" s="111" t="b">
        <f>IF(AND('AES Indiana Sep 23 Bill Calc.'!$D$17="SL",'AES Indiana Sep 23 Bill Calc.'!$D$18="Yes 50%",'AES Indiana Sep 23 Bill Calc.'!$D$20="Yes 2018"),'AES Indiana Sep 23 Bill Calc.'!$D$22)</f>
        <v>0</v>
      </c>
      <c r="E452" s="111" t="b">
        <f>IF(AND('AES Indiana Sep 23 Bill Calc.'!$D$17="SL",'AES Indiana Sep 23 Bill Calc.'!$D$18="Yes 50%",'AES Indiana Sep 23 Bill Calc.'!$D$20="Yes 2018"),'AES Indiana Sep 23 Bill Calc.'!$D$21)</f>
        <v>0</v>
      </c>
      <c r="F452" s="37" t="s">
        <v>125</v>
      </c>
      <c r="G452" s="17" t="e">
        <f>SUM(J452:M452,O452:P452,R452:AA452)</f>
        <v>#N/A</v>
      </c>
      <c r="H452" s="19" t="e">
        <f>IF(ISBLANK(B452),0,+#REF!/B452)</f>
        <v>#REF!</v>
      </c>
      <c r="J452" s="101">
        <f>IF(ISBLANK(B452),0,+J$425)</f>
        <v>118.2</v>
      </c>
      <c r="K452" s="43">
        <f>ROUND($B452*K$425,2)</f>
        <v>-0.04</v>
      </c>
      <c r="N452" s="18">
        <f>K452</f>
        <v>-0.04</v>
      </c>
      <c r="O452" s="17">
        <f>IF($C452&gt;M$426,ROUND(M$426*M$425,2),ROUND($C452*M$425,2))</f>
        <v>1055</v>
      </c>
      <c r="P452" s="17">
        <f>IF($C452&gt;M$426,ROUND(($C452-M$426)*O$425,2),0)</f>
        <v>0</v>
      </c>
      <c r="Q452" s="17">
        <f>SUM(O452:P452)</f>
        <v>1055</v>
      </c>
      <c r="R452" s="16" t="e">
        <f>ROUND(SUM(N452:P452)*(R451-1),2)</f>
        <v>#N/A</v>
      </c>
      <c r="S452" s="43">
        <f>ROUND($B452*S$425*S451,2)</f>
        <v>0</v>
      </c>
      <c r="T452" s="43">
        <f>ROUND($B452*T$425,2)</f>
        <v>0</v>
      </c>
      <c r="U452" s="43">
        <f>ROUND($B452*U$425,2)</f>
        <v>0</v>
      </c>
      <c r="V452" s="42">
        <f>ROUND($B452*$V$419,2)</f>
        <v>0</v>
      </c>
      <c r="W452" s="43">
        <f>ROUND($B452*W$425,2)</f>
        <v>0</v>
      </c>
      <c r="X452" s="43">
        <f>ROUND($B452*X$425,2)</f>
        <v>0</v>
      </c>
      <c r="Y452" s="43">
        <f>ROUND($B452*Y$425,2)</f>
        <v>0</v>
      </c>
      <c r="Z452" s="43">
        <f>ROUND($B452*Z$425,2)</f>
        <v>0</v>
      </c>
      <c r="AA452" s="43">
        <f>ROUND($B452*AA$425,2)</f>
        <v>0</v>
      </c>
      <c r="AB452" s="19" t="e">
        <f>SUM(U$425:AA$425)+(-V$425+V428)</f>
        <v>#VALUE!</v>
      </c>
      <c r="AC452" s="115" t="str">
        <f>+F452</f>
        <v>SL8</v>
      </c>
    </row>
    <row r="453" spans="1:29" ht="13" x14ac:dyDescent="0.3">
      <c r="A453" s="9"/>
      <c r="B453" s="111">
        <v>-1</v>
      </c>
      <c r="D453" s="33"/>
      <c r="E453" s="127"/>
      <c r="F453" s="37"/>
      <c r="G453" s="113"/>
      <c r="H453" s="19"/>
      <c r="I453" s="19"/>
      <c r="J453" s="16"/>
      <c r="K453" s="17"/>
      <c r="O453" s="17"/>
      <c r="P453" s="17"/>
      <c r="Q453" s="17"/>
      <c r="R453" s="39" t="e">
        <f>INDEX('Pwr Factor'!$A$1:$B$52,MATCH((D454),'Pwr Factor'!$A$1:$A$52,0),2)</f>
        <v>#N/A</v>
      </c>
      <c r="S453" s="51">
        <v>0.25</v>
      </c>
      <c r="T453" s="17"/>
      <c r="U453" s="17"/>
      <c r="V453" s="8"/>
      <c r="W453" s="17"/>
      <c r="X453" s="17"/>
      <c r="Y453" s="17"/>
      <c r="Z453" s="17"/>
      <c r="AA453" s="17"/>
      <c r="AB453" s="19"/>
      <c r="AC453" s="78"/>
    </row>
    <row r="454" spans="1:29" ht="13" x14ac:dyDescent="0.3">
      <c r="A454" s="57" t="s">
        <v>158</v>
      </c>
      <c r="B454" s="111">
        <f>IF(AND('AES Indiana Sep 23 Bill Calc.'!$D$17="SL",'AES Indiana Sep 23 Bill Calc.'!$D$18="Yes 25%",'AES Indiana Sep 23 Bill Calc.'!$D$20="Yes 2018"),'AES Indiana Sep 23 Bill Calc.'!$D$19,-1)</f>
        <v>-1</v>
      </c>
      <c r="C454" s="111">
        <f>MAX(E454,$C$426)</f>
        <v>50</v>
      </c>
      <c r="D454" s="111" t="b">
        <f>IF(AND('AES Indiana Sep 23 Bill Calc.'!$D$17="SL",'AES Indiana Sep 23 Bill Calc.'!$D$18="Yes 25%",'AES Indiana Sep 23 Bill Calc.'!$D$20="Yes 2018"),'AES Indiana Sep 23 Bill Calc.'!$D$22)</f>
        <v>0</v>
      </c>
      <c r="E454" s="111" t="b">
        <f>IF(AND('AES Indiana Sep 23 Bill Calc.'!$D$17="SL",'AES Indiana Sep 23 Bill Calc.'!$D$18="Yes 25%",'AES Indiana Sep 23 Bill Calc.'!$D$20="Yes 2018"),'AES Indiana Sep 23 Bill Calc.'!$D$21)</f>
        <v>0</v>
      </c>
      <c r="F454" s="37" t="s">
        <v>125</v>
      </c>
      <c r="G454" s="17" t="e">
        <f>SUM(J454:M454,O454:P454,R454:AA454)</f>
        <v>#N/A</v>
      </c>
      <c r="H454" s="19" t="e">
        <f>IF(ISBLANK(B454),0,+#REF!/B454)</f>
        <v>#REF!</v>
      </c>
      <c r="J454" s="101">
        <f>IF(ISBLANK(B454),0,+J$425)</f>
        <v>118.2</v>
      </c>
      <c r="K454" s="43">
        <f>ROUND($B454*K$425,2)</f>
        <v>-0.04</v>
      </c>
      <c r="N454" s="18">
        <f>K454</f>
        <v>-0.04</v>
      </c>
      <c r="O454" s="17">
        <f>IF($C454&gt;M$426,ROUND(M$426*M$425,2),ROUND($C454*M$425,2))</f>
        <v>1055</v>
      </c>
      <c r="P454" s="17">
        <f>IF($C454&gt;M$426,ROUND(($C454-M$426)*O$425,2),0)</f>
        <v>0</v>
      </c>
      <c r="Q454" s="17">
        <f>SUM(O454:P454)</f>
        <v>1055</v>
      </c>
      <c r="R454" s="16" t="e">
        <f>ROUND(SUM(N454:P454)*(R453-1),2)</f>
        <v>#N/A</v>
      </c>
      <c r="S454" s="43">
        <f>ROUND($B454*S$425*S453,2)</f>
        <v>0</v>
      </c>
      <c r="T454" s="43">
        <f>ROUND($B454*T$425,2)</f>
        <v>0</v>
      </c>
      <c r="U454" s="43">
        <f>ROUND($B454*U$425,2)</f>
        <v>0</v>
      </c>
      <c r="V454" s="42">
        <f>ROUND($B454*$V$419,2)</f>
        <v>0</v>
      </c>
      <c r="W454" s="43">
        <f>ROUND($B454*W$425,2)</f>
        <v>0</v>
      </c>
      <c r="X454" s="43">
        <f>ROUND($B454*X$425,2)</f>
        <v>0</v>
      </c>
      <c r="Y454" s="43">
        <f>ROUND($B454*Y$425,2)</f>
        <v>0</v>
      </c>
      <c r="Z454" s="43">
        <f>ROUND($B454*Z$425,2)</f>
        <v>0</v>
      </c>
      <c r="AA454" s="43">
        <f>ROUND($B454*AA$425,2)</f>
        <v>0</v>
      </c>
      <c r="AB454" s="19">
        <f>SUM(U$425:AA$425)+(-V$425+V430)</f>
        <v>-6.464000000000001E-3</v>
      </c>
      <c r="AC454" s="115" t="str">
        <f>+F454</f>
        <v>SL8</v>
      </c>
    </row>
    <row r="455" spans="1:29" ht="13" x14ac:dyDescent="0.3">
      <c r="A455" s="9"/>
      <c r="B455" s="111">
        <v>-1</v>
      </c>
      <c r="D455" s="33"/>
      <c r="E455" s="127"/>
      <c r="F455" s="37"/>
      <c r="G455" s="113"/>
      <c r="H455" s="19"/>
      <c r="I455" s="19"/>
      <c r="J455" s="16"/>
      <c r="K455" s="17"/>
      <c r="O455" s="17"/>
      <c r="P455" s="17"/>
      <c r="Q455" s="17"/>
      <c r="R455" s="39" t="e">
        <f>INDEX('Pwr Factor'!$A$1:$B$52,MATCH((D456),'Pwr Factor'!$A$1:$A$52,0),2)</f>
        <v>#N/A</v>
      </c>
      <c r="S455" s="51">
        <v>0.1</v>
      </c>
      <c r="T455" s="17"/>
      <c r="U455" s="17"/>
      <c r="V455" s="8"/>
      <c r="W455" s="17"/>
      <c r="X455" s="17"/>
      <c r="Y455" s="17"/>
      <c r="Z455" s="17"/>
      <c r="AA455" s="17"/>
      <c r="AB455" s="19"/>
      <c r="AC455" s="78"/>
    </row>
    <row r="456" spans="1:29" ht="13" x14ac:dyDescent="0.3">
      <c r="A456" s="57" t="s">
        <v>173</v>
      </c>
      <c r="B456" s="111">
        <f>IF(AND('AES Indiana Sep 23 Bill Calc.'!$D$17="SL",'AES Indiana Sep 23 Bill Calc.'!$D$18="Yes 10%",'AES Indiana Sep 23 Bill Calc.'!$D$20="Yes 2018"),'AES Indiana Sep 23 Bill Calc.'!$D$19,-1)</f>
        <v>-1</v>
      </c>
      <c r="C456" s="111">
        <f>MAX(E456,$C$426)</f>
        <v>50</v>
      </c>
      <c r="D456" s="111" t="b">
        <f>IF(AND('AES Indiana Sep 23 Bill Calc.'!$D$17="SL",'AES Indiana Sep 23 Bill Calc.'!$D$18="Yes 10%",'AES Indiana Sep 23 Bill Calc.'!$D$20="Yes 2018"),'AES Indiana Sep 23 Bill Calc.'!$D$22)</f>
        <v>0</v>
      </c>
      <c r="E456" s="111" t="b">
        <f>IF(AND('AES Indiana Sep 23 Bill Calc.'!$D$17="SL",'AES Indiana Sep 23 Bill Calc.'!$D$18="Yes 10%",'AES Indiana Sep 23 Bill Calc.'!$D$20="Yes 2018"),'AES Indiana Sep 23 Bill Calc.'!$D$21)</f>
        <v>0</v>
      </c>
      <c r="F456" s="37" t="s">
        <v>125</v>
      </c>
      <c r="G456" s="17" t="e">
        <f>SUM(J456:M456,O456:P456,R456:AA456)</f>
        <v>#N/A</v>
      </c>
      <c r="H456" s="19" t="e">
        <f>IF(ISBLANK(B456),0,+#REF!/B456)</f>
        <v>#REF!</v>
      </c>
      <c r="J456" s="101">
        <f>IF(ISBLANK(B456),0,+J$425)</f>
        <v>118.2</v>
      </c>
      <c r="K456" s="43">
        <f>ROUND($B456*K$425,2)</f>
        <v>-0.04</v>
      </c>
      <c r="N456" s="18">
        <f>K456</f>
        <v>-0.04</v>
      </c>
      <c r="O456" s="17">
        <f>IF($C456&gt;M$426,ROUND(M$426*M$425,2),ROUND($C456*M$425,2))</f>
        <v>1055</v>
      </c>
      <c r="P456" s="17">
        <f>IF($C456&gt;M$426,ROUND(($C456-M$426)*O$425,2),0)</f>
        <v>0</v>
      </c>
      <c r="Q456" s="17">
        <f>SUM(O456:P456)</f>
        <v>1055</v>
      </c>
      <c r="R456" s="16" t="e">
        <f>ROUND(SUM(N456:P456)*(R455-1),2)</f>
        <v>#N/A</v>
      </c>
      <c r="S456" s="43">
        <f>ROUND($B456*S$425*S455,2)</f>
        <v>0</v>
      </c>
      <c r="T456" s="43">
        <f>ROUND($B456*T$425,2)</f>
        <v>0</v>
      </c>
      <c r="U456" s="43">
        <f>ROUND($B456*U$425,2)</f>
        <v>0</v>
      </c>
      <c r="V456" s="42">
        <f>ROUND($B456*$V$419,2)</f>
        <v>0</v>
      </c>
      <c r="W456" s="43">
        <f>ROUND($B456*W$425,2)</f>
        <v>0</v>
      </c>
      <c r="X456" s="43">
        <f>ROUND($B456*X$425,2)</f>
        <v>0</v>
      </c>
      <c r="Y456" s="43">
        <f>ROUND($B456*Y$425,2)</f>
        <v>0</v>
      </c>
      <c r="Z456" s="43">
        <f>ROUND($B456*Z$425,2)</f>
        <v>0</v>
      </c>
      <c r="AA456" s="43">
        <f>ROUND($B456*AA$425,2)</f>
        <v>0</v>
      </c>
      <c r="AB456" s="19">
        <f>SUM(U$425:AA$425)+(-V$425+V432)</f>
        <v>-6.464000000000001E-3</v>
      </c>
      <c r="AC456" s="115" t="str">
        <f>+F456</f>
        <v>SL8</v>
      </c>
    </row>
    <row r="457" spans="1:29" ht="13" x14ac:dyDescent="0.3">
      <c r="A457" s="9"/>
      <c r="B457" s="111">
        <v>-1</v>
      </c>
      <c r="D457" s="33"/>
      <c r="E457" s="127"/>
      <c r="F457" s="37"/>
      <c r="G457" s="113"/>
      <c r="H457" s="19"/>
      <c r="I457" s="19"/>
      <c r="J457" s="16"/>
      <c r="K457" s="17"/>
      <c r="O457" s="17"/>
      <c r="P457" s="17"/>
      <c r="Q457" s="17"/>
      <c r="R457" s="39" t="e">
        <f>INDEX('Pwr Factor'!$A$1:$B$52,MATCH((D458),'Pwr Factor'!$A$1:$A$52,0),2)</f>
        <v>#N/A</v>
      </c>
      <c r="S457" s="51">
        <v>0</v>
      </c>
      <c r="T457" s="17"/>
      <c r="U457" s="17"/>
      <c r="V457" s="8"/>
      <c r="W457" s="17"/>
      <c r="X457" s="17"/>
      <c r="Y457" s="17"/>
      <c r="Z457" s="17"/>
      <c r="AA457" s="17"/>
      <c r="AB457" s="19"/>
      <c r="AC457" s="78"/>
    </row>
    <row r="458" spans="1:29" ht="13" x14ac:dyDescent="0.3">
      <c r="A458" s="57" t="s">
        <v>172</v>
      </c>
      <c r="B458" s="111">
        <f>IF(AND('AES Indiana Sep 23 Bill Calc.'!$D$17="SL",'AES Indiana Sep 23 Bill Calc.'!$D$18="No",'AES Indiana Sep 23 Bill Calc.'!$D$20="Yes 2018"),'AES Indiana Sep 23 Bill Calc.'!$D$19,-1)</f>
        <v>-1</v>
      </c>
      <c r="C458" s="111">
        <f>MAX(E458,$C$426)</f>
        <v>50</v>
      </c>
      <c r="D458" s="111" t="b">
        <f>IF(AND('AES Indiana Sep 23 Bill Calc.'!$D$17="SL",'AES Indiana Sep 23 Bill Calc.'!$D$18="No",'AES Indiana Sep 23 Bill Calc.'!$D$20="Yes 2018"),'AES Indiana Sep 23 Bill Calc.'!$D$22)</f>
        <v>0</v>
      </c>
      <c r="E458" s="111" t="b">
        <f>IF(AND('AES Indiana Sep 23 Bill Calc.'!$D$17="SL",'AES Indiana Sep 23 Bill Calc.'!$D$18="No",'AES Indiana Sep 23 Bill Calc.'!$D$20="Yes 2018"),'AES Indiana Sep 23 Bill Calc.'!$D$21)</f>
        <v>0</v>
      </c>
      <c r="F458" s="37" t="s">
        <v>125</v>
      </c>
      <c r="G458" s="17" t="e">
        <f>SUM(J458:M458,O458:P458,R458:AA458)</f>
        <v>#N/A</v>
      </c>
      <c r="H458" s="19" t="e">
        <f>IF(ISBLANK(B458),0,+#REF!/B458)</f>
        <v>#REF!</v>
      </c>
      <c r="J458" s="101">
        <f>IF(ISBLANK(B458),0,+J$425)</f>
        <v>118.2</v>
      </c>
      <c r="K458" s="43">
        <f>ROUND($B458*K$425,2)</f>
        <v>-0.04</v>
      </c>
      <c r="N458" s="18">
        <f>K458</f>
        <v>-0.04</v>
      </c>
      <c r="O458" s="17">
        <f>IF($C458&gt;M$426,ROUND(M$426*M$425,2),ROUND($C458*M$425,2))</f>
        <v>1055</v>
      </c>
      <c r="P458" s="17">
        <f>IF($C458&gt;M$426,ROUND(($C458-M$426)*O$425,2),0)</f>
        <v>0</v>
      </c>
      <c r="Q458" s="17">
        <f>SUM(O458:P458)</f>
        <v>1055</v>
      </c>
      <c r="R458" s="16" t="e">
        <f>ROUND(SUM(N458:P458)*(R457-1),2)</f>
        <v>#N/A</v>
      </c>
      <c r="S458" s="43">
        <f>ROUND($B458*S$425*S457,2)</f>
        <v>0</v>
      </c>
      <c r="T458" s="43">
        <f>ROUND($B458*T$425,2)</f>
        <v>0</v>
      </c>
      <c r="U458" s="43">
        <f>ROUND($B458*U$425,2)</f>
        <v>0</v>
      </c>
      <c r="V458" s="42">
        <f>ROUND($B458*$V$419,2)</f>
        <v>0</v>
      </c>
      <c r="W458" s="43">
        <f>ROUND($B458*W$425,2)</f>
        <v>0</v>
      </c>
      <c r="X458" s="43">
        <f>ROUND($B458*X$425,2)</f>
        <v>0</v>
      </c>
      <c r="Y458" s="43">
        <f>ROUND($B458*Y$425,2)</f>
        <v>0</v>
      </c>
      <c r="Z458" s="43">
        <f>ROUND($B458*Z$425,2)</f>
        <v>0</v>
      </c>
      <c r="AA458" s="43">
        <f>ROUND($B458*AA$425,2)</f>
        <v>0</v>
      </c>
      <c r="AB458" s="19">
        <f>SUM(U$425:AA$425)+(-V$425+V434)</f>
        <v>-6.464000000000001E-3</v>
      </c>
      <c r="AC458" s="115" t="str">
        <f>+F458</f>
        <v>SL8</v>
      </c>
    </row>
    <row r="459" spans="1:29" ht="13" x14ac:dyDescent="0.3">
      <c r="A459" s="56"/>
      <c r="B459" s="128">
        <v>-1</v>
      </c>
      <c r="D459" s="107"/>
      <c r="E459" s="119"/>
      <c r="F459" s="37"/>
      <c r="G459" s="120"/>
      <c r="H459" s="19"/>
      <c r="J459" s="129"/>
      <c r="K459" s="120"/>
      <c r="O459" s="120"/>
      <c r="P459" s="120"/>
      <c r="Q459" s="120"/>
      <c r="R459" s="39" t="e">
        <f>INDEX('Pwr Factor'!$A$1:$B$52,MATCH((D460),'Pwr Factor'!$A$1:$A$52,0),2)</f>
        <v>#N/A</v>
      </c>
      <c r="S459" s="51">
        <v>1</v>
      </c>
      <c r="T459" s="120"/>
      <c r="U459" s="120"/>
      <c r="V459" s="107"/>
      <c r="W459" s="120"/>
      <c r="X459" s="120"/>
      <c r="Y459" s="120"/>
      <c r="Z459" s="120"/>
      <c r="AA459" s="120"/>
      <c r="AB459" s="19"/>
      <c r="AC459" s="130"/>
    </row>
    <row r="460" spans="1:29" ht="13" x14ac:dyDescent="0.3">
      <c r="A460" s="1" t="s">
        <v>73</v>
      </c>
      <c r="B460" s="111">
        <f>IF(AND('AES Indiana Sep 23 Bill Calc.'!$D$17="SL",'AES Indiana Sep 23 Bill Calc.'!$D$18="Yes 100%",'AES Indiana Sep 23 Bill Calc.'!$D$20="Yes 2019"),'AES Indiana Sep 23 Bill Calc.'!$D$19,-1)</f>
        <v>-1</v>
      </c>
      <c r="C460" s="111">
        <f>MAX(E460,$C$426)</f>
        <v>50</v>
      </c>
      <c r="D460" s="111" t="b">
        <f>IF(AND('AES Indiana Sep 23 Bill Calc.'!$D$17="SL",'AES Indiana Sep 23 Bill Calc.'!$D$18="Yes 100%",'AES Indiana Sep 23 Bill Calc.'!$D$20="Yes 2019"),'AES Indiana Sep 23 Bill Calc.'!$D$22)</f>
        <v>0</v>
      </c>
      <c r="E460" s="111" t="b">
        <f>IF(AND('AES Indiana Sep 23 Bill Calc.'!$D$17="SL",'AES Indiana Sep 23 Bill Calc.'!$D$18="Yes 100%",'AES Indiana Sep 23 Bill Calc.'!$D$20="Yes 2019"),'AES Indiana Sep 23 Bill Calc.'!$D$21)</f>
        <v>0</v>
      </c>
      <c r="F460" s="37" t="s">
        <v>145</v>
      </c>
      <c r="G460" s="17" t="e">
        <f>SUM(J460:M460,O460:P460,R460:AA460)</f>
        <v>#N/A</v>
      </c>
      <c r="H460" s="19" t="e">
        <f>IF(ISBLANK(B460),0,+#REF!/B460)</f>
        <v>#REF!</v>
      </c>
      <c r="J460" s="101">
        <f>IF(ISBLANK(B460),0,+J$425)</f>
        <v>118.2</v>
      </c>
      <c r="K460" s="43">
        <f>ROUND($B460*K$425,2)</f>
        <v>-0.04</v>
      </c>
      <c r="N460" s="18">
        <f>K460</f>
        <v>-0.04</v>
      </c>
      <c r="O460" s="17">
        <f>IF($C460&gt;M$426,ROUND(M$426*M$425,2),ROUND($C460*M$425,2))</f>
        <v>1055</v>
      </c>
      <c r="P460" s="17">
        <f>IF($C460&gt;M$426,ROUND(($C460-M$426)*O$425,2),0)</f>
        <v>0</v>
      </c>
      <c r="Q460" s="17">
        <f>SUM(O460:P460)</f>
        <v>1055</v>
      </c>
      <c r="R460" s="16" t="e">
        <f>ROUND(SUM(N460:P460)*(R459-1),2)</f>
        <v>#N/A</v>
      </c>
      <c r="S460" s="43">
        <f>ROUND($B460*S$425*S459,2)</f>
        <v>0</v>
      </c>
      <c r="T460" s="43">
        <f>ROUND($B460*T$425,2)</f>
        <v>0</v>
      </c>
      <c r="U460" s="43">
        <f>ROUND($B460*U$425,2)</f>
        <v>0</v>
      </c>
      <c r="V460" s="42">
        <f>ROUND($B460*$V$420,2)</f>
        <v>0</v>
      </c>
      <c r="W460" s="43">
        <f>ROUND($B460*W$425,2)</f>
        <v>0</v>
      </c>
      <c r="X460" s="43">
        <f>ROUND($B460*X$425,2)</f>
        <v>0</v>
      </c>
      <c r="Y460" s="43">
        <f>ROUND($B460*Y$425,2)</f>
        <v>0</v>
      </c>
      <c r="Z460" s="43">
        <f>ROUND($B460*Z$425,2)</f>
        <v>0</v>
      </c>
      <c r="AA460" s="43">
        <f>ROUND($B460*AA$425,2)</f>
        <v>0</v>
      </c>
      <c r="AB460" s="19" t="e">
        <f>SUM(U$425:AA$425)+(-V$425+V428)</f>
        <v>#VALUE!</v>
      </c>
      <c r="AC460" s="115" t="str">
        <f>+F460</f>
        <v>SL9</v>
      </c>
    </row>
    <row r="461" spans="1:29" ht="13" x14ac:dyDescent="0.3">
      <c r="A461" s="9"/>
      <c r="B461" s="128">
        <v>-1</v>
      </c>
      <c r="D461" s="107"/>
      <c r="E461" s="119"/>
      <c r="F461" s="37"/>
      <c r="G461" s="120"/>
      <c r="H461" s="19"/>
      <c r="J461" s="129"/>
      <c r="K461" s="120"/>
      <c r="O461" s="120"/>
      <c r="P461" s="120"/>
      <c r="Q461" s="120"/>
      <c r="R461" s="39" t="e">
        <f>INDEX('Pwr Factor'!$A$1:$B$52,MATCH((D462),'Pwr Factor'!$A$1:$A$52,0),2)</f>
        <v>#N/A</v>
      </c>
      <c r="S461" s="51">
        <v>0.5</v>
      </c>
      <c r="T461" s="120"/>
      <c r="U461" s="120"/>
      <c r="V461" s="107"/>
      <c r="W461" s="120"/>
      <c r="X461" s="120"/>
      <c r="Y461" s="120"/>
      <c r="Z461" s="120"/>
      <c r="AA461" s="120"/>
      <c r="AB461" s="19"/>
      <c r="AC461" s="130"/>
    </row>
    <row r="462" spans="1:29" ht="13" x14ac:dyDescent="0.3">
      <c r="A462" s="57" t="s">
        <v>171</v>
      </c>
      <c r="B462" s="111">
        <f>IF(AND('AES Indiana Sep 23 Bill Calc.'!$D$17="SL",'AES Indiana Sep 23 Bill Calc.'!$D$18="Yes 50%",'AES Indiana Sep 23 Bill Calc.'!$D$20="Yes 2019"),'AES Indiana Sep 23 Bill Calc.'!$D$19,-1)</f>
        <v>-1</v>
      </c>
      <c r="C462" s="111">
        <f>MAX(E462,$C$426)</f>
        <v>50</v>
      </c>
      <c r="D462" s="111" t="b">
        <f>IF(AND('AES Indiana Sep 23 Bill Calc.'!$D$17="SL",'AES Indiana Sep 23 Bill Calc.'!$D$18="Yes 50%",'AES Indiana Sep 23 Bill Calc.'!$D$20="Yes 2019"),'AES Indiana Sep 23 Bill Calc.'!$D$22)</f>
        <v>0</v>
      </c>
      <c r="E462" s="111" t="b">
        <f>IF(AND('AES Indiana Sep 23 Bill Calc.'!$D$17="SL",'AES Indiana Sep 23 Bill Calc.'!$D$18="Yes 50%",'AES Indiana Sep 23 Bill Calc.'!$D$20="Yes 2019"),'AES Indiana Sep 23 Bill Calc.'!$D$21)</f>
        <v>0</v>
      </c>
      <c r="F462" s="37" t="s">
        <v>145</v>
      </c>
      <c r="G462" s="17" t="e">
        <f>SUM(J462:M462,O462:P462,R462:AA462)</f>
        <v>#N/A</v>
      </c>
      <c r="H462" s="19" t="e">
        <f>IF(ISBLANK(B462),0,+#REF!/B462)</f>
        <v>#REF!</v>
      </c>
      <c r="J462" s="101">
        <f>IF(ISBLANK(B462),0,+J$425)</f>
        <v>118.2</v>
      </c>
      <c r="K462" s="43">
        <f>ROUND($B462*K$425,2)</f>
        <v>-0.04</v>
      </c>
      <c r="N462" s="18">
        <f>K462</f>
        <v>-0.04</v>
      </c>
      <c r="O462" s="17">
        <f>IF($C462&gt;M$426,ROUND(M$426*M$425,2),ROUND($C462*M$425,2))</f>
        <v>1055</v>
      </c>
      <c r="P462" s="17">
        <f>IF($C462&gt;M$426,ROUND(($C462-M$426)*O$425,2),0)</f>
        <v>0</v>
      </c>
      <c r="Q462" s="17">
        <f>SUM(O462:P462)</f>
        <v>1055</v>
      </c>
      <c r="R462" s="16" t="e">
        <f>ROUND(SUM(N462:P462)*(R461-1),2)</f>
        <v>#N/A</v>
      </c>
      <c r="S462" s="43">
        <f>ROUND($B462*S$425*S461,2)</f>
        <v>0</v>
      </c>
      <c r="T462" s="43">
        <f>ROUND($B462*T$425,2)</f>
        <v>0</v>
      </c>
      <c r="U462" s="43">
        <f>ROUND($B462*U$425,2)</f>
        <v>0</v>
      </c>
      <c r="V462" s="42">
        <f>ROUND($B462*$V$420,2)</f>
        <v>0</v>
      </c>
      <c r="W462" s="43">
        <f>ROUND($B462*W$425,2)</f>
        <v>0</v>
      </c>
      <c r="X462" s="43">
        <f>ROUND($B462*X$425,2)</f>
        <v>0</v>
      </c>
      <c r="Y462" s="43">
        <f>ROUND($B462*Y$425,2)</f>
        <v>0</v>
      </c>
      <c r="Z462" s="43">
        <f>ROUND($B462*Z$425,2)</f>
        <v>0</v>
      </c>
      <c r="AA462" s="43">
        <f>ROUND($B462*AA$425,2)</f>
        <v>0</v>
      </c>
      <c r="AB462" s="19">
        <f>SUM(U$425:AA$425)+(-V$425+V430)</f>
        <v>-6.464000000000001E-3</v>
      </c>
      <c r="AC462" s="115" t="str">
        <f>+F462</f>
        <v>SL9</v>
      </c>
    </row>
    <row r="463" spans="1:29" ht="13" x14ac:dyDescent="0.3">
      <c r="A463" s="9"/>
      <c r="B463" s="128">
        <v>-1</v>
      </c>
      <c r="D463" s="107"/>
      <c r="E463" s="119"/>
      <c r="F463" s="37"/>
      <c r="G463" s="120"/>
      <c r="H463" s="19"/>
      <c r="J463" s="129"/>
      <c r="K463" s="120"/>
      <c r="O463" s="120"/>
      <c r="P463" s="120"/>
      <c r="Q463" s="120"/>
      <c r="R463" s="39" t="e">
        <f>INDEX('Pwr Factor'!$A$1:$B$52,MATCH((D464),'Pwr Factor'!$A$1:$A$52,0),2)</f>
        <v>#N/A</v>
      </c>
      <c r="S463" s="51">
        <v>0.25</v>
      </c>
      <c r="T463" s="120"/>
      <c r="U463" s="120"/>
      <c r="V463" s="107"/>
      <c r="W463" s="120"/>
      <c r="X463" s="120"/>
      <c r="Y463" s="120"/>
      <c r="Z463" s="120"/>
      <c r="AA463" s="120"/>
      <c r="AB463" s="19"/>
      <c r="AC463" s="130"/>
    </row>
    <row r="464" spans="1:29" ht="13" x14ac:dyDescent="0.3">
      <c r="A464" s="57" t="s">
        <v>158</v>
      </c>
      <c r="B464" s="111">
        <f>IF(AND('AES Indiana Sep 23 Bill Calc.'!$D$17="SL",'AES Indiana Sep 23 Bill Calc.'!$D$18="Yes 25%",'AES Indiana Sep 23 Bill Calc.'!$D$20="Yes 2019"),'AES Indiana Sep 23 Bill Calc.'!$D$19,-1)</f>
        <v>-1</v>
      </c>
      <c r="C464" s="111">
        <f>MAX(E464,$C$426)</f>
        <v>50</v>
      </c>
      <c r="D464" s="111" t="b">
        <f>IF(AND('AES Indiana Sep 23 Bill Calc.'!$D$17="SL",'AES Indiana Sep 23 Bill Calc.'!$D$18="Yes 25%",'AES Indiana Sep 23 Bill Calc.'!$D$20="Yes 2019"),'AES Indiana Sep 23 Bill Calc.'!$D$22)</f>
        <v>0</v>
      </c>
      <c r="E464" s="111" t="b">
        <f>IF(AND('AES Indiana Sep 23 Bill Calc.'!$D$17="SL",'AES Indiana Sep 23 Bill Calc.'!$D$18="Yes 25%",'AES Indiana Sep 23 Bill Calc.'!$D$20="Yes 2019"),'AES Indiana Sep 23 Bill Calc.'!$D$21)</f>
        <v>0</v>
      </c>
      <c r="F464" s="37" t="s">
        <v>145</v>
      </c>
      <c r="G464" s="17" t="e">
        <f>SUM(J464:M464,O464:P464,R464:AA464)</f>
        <v>#N/A</v>
      </c>
      <c r="H464" s="19" t="e">
        <f>IF(ISBLANK(B464),0,+#REF!/B464)</f>
        <v>#REF!</v>
      </c>
      <c r="J464" s="101">
        <f>IF(ISBLANK(B464),0,+J$425)</f>
        <v>118.2</v>
      </c>
      <c r="K464" s="43">
        <f>ROUND($B464*K$425,2)</f>
        <v>-0.04</v>
      </c>
      <c r="N464" s="18">
        <f>K464</f>
        <v>-0.04</v>
      </c>
      <c r="O464" s="17">
        <f>IF($C464&gt;M$426,ROUND(M$426*M$425,2),ROUND($C464*M$425,2))</f>
        <v>1055</v>
      </c>
      <c r="P464" s="17">
        <f>IF($C464&gt;M$426,ROUND(($C464-M$426)*O$425,2),0)</f>
        <v>0</v>
      </c>
      <c r="Q464" s="17">
        <f>SUM(O464:P464)</f>
        <v>1055</v>
      </c>
      <c r="R464" s="16" t="e">
        <f>ROUND(SUM(N464:P464)*(R463-1),2)</f>
        <v>#N/A</v>
      </c>
      <c r="S464" s="43">
        <f>ROUND($B464*S$425*S463,2)</f>
        <v>0</v>
      </c>
      <c r="T464" s="43">
        <f>ROUND($B464*T$425,2)</f>
        <v>0</v>
      </c>
      <c r="U464" s="43">
        <f>ROUND($B464*U$425,2)</f>
        <v>0</v>
      </c>
      <c r="V464" s="42">
        <f>ROUND($B464*$V$420,2)</f>
        <v>0</v>
      </c>
      <c r="W464" s="43">
        <f>ROUND($B464*W$425,2)</f>
        <v>0</v>
      </c>
      <c r="X464" s="43">
        <f>ROUND($B464*X$425,2)</f>
        <v>0</v>
      </c>
      <c r="Y464" s="43">
        <f>ROUND($B464*Y$425,2)</f>
        <v>0</v>
      </c>
      <c r="Z464" s="43">
        <f>ROUND($B464*Z$425,2)</f>
        <v>0</v>
      </c>
      <c r="AA464" s="43">
        <f>ROUND($B464*AA$425,2)</f>
        <v>0</v>
      </c>
      <c r="AB464" s="19">
        <f>SUM(U$425:AA$425)+(-V$425+V432)</f>
        <v>-6.464000000000001E-3</v>
      </c>
      <c r="AC464" s="115" t="str">
        <f>+F464</f>
        <v>SL9</v>
      </c>
    </row>
    <row r="465" spans="1:123" ht="13" x14ac:dyDescent="0.3">
      <c r="A465" s="9"/>
      <c r="B465" s="128">
        <v>-1</v>
      </c>
      <c r="D465" s="107"/>
      <c r="E465" s="119"/>
      <c r="F465" s="37"/>
      <c r="G465" s="120"/>
      <c r="H465" s="19"/>
      <c r="J465" s="129"/>
      <c r="K465" s="120"/>
      <c r="O465" s="120"/>
      <c r="P465" s="120"/>
      <c r="Q465" s="120"/>
      <c r="R465" s="39" t="e">
        <f>INDEX('Pwr Factor'!$A$1:$B$52,MATCH((D466),'Pwr Factor'!$A$1:$A$52,0),2)</f>
        <v>#N/A</v>
      </c>
      <c r="S465" s="51">
        <v>0.1</v>
      </c>
      <c r="T465" s="120"/>
      <c r="U465" s="120"/>
      <c r="V465" s="107"/>
      <c r="W465" s="120"/>
      <c r="X465" s="120"/>
      <c r="Y465" s="120"/>
      <c r="Z465" s="120"/>
      <c r="AA465" s="120"/>
      <c r="AB465" s="19"/>
      <c r="AC465" s="130"/>
    </row>
    <row r="466" spans="1:123" ht="13" x14ac:dyDescent="0.3">
      <c r="A466" s="57" t="s">
        <v>173</v>
      </c>
      <c r="B466" s="111">
        <f>IF(AND('AES Indiana Sep 23 Bill Calc.'!$D$17="SL",'AES Indiana Sep 23 Bill Calc.'!$D$18="Yes 10%",'AES Indiana Sep 23 Bill Calc.'!$D$20="Yes 2019"),'AES Indiana Sep 23 Bill Calc.'!$D$19,-1)</f>
        <v>-1</v>
      </c>
      <c r="C466" s="111">
        <f>MAX(E466,$C$426)</f>
        <v>50</v>
      </c>
      <c r="D466" s="111" t="b">
        <f>IF(AND('AES Indiana Sep 23 Bill Calc.'!$D$17="SL",'AES Indiana Sep 23 Bill Calc.'!$D$18="Yes 10%",'AES Indiana Sep 23 Bill Calc.'!$D$20="Yes 2019"),'AES Indiana Sep 23 Bill Calc.'!$D$22)</f>
        <v>0</v>
      </c>
      <c r="E466" s="111" t="b">
        <f>IF(AND('AES Indiana Sep 23 Bill Calc.'!$D$17="SL",'AES Indiana Sep 23 Bill Calc.'!$D$18="Yes 10%",'AES Indiana Sep 23 Bill Calc.'!$D$20="Yes 2019"),'AES Indiana Sep 23 Bill Calc.'!$D$21)</f>
        <v>0</v>
      </c>
      <c r="F466" s="37" t="s">
        <v>145</v>
      </c>
      <c r="G466" s="17" t="e">
        <f>SUM(J466:M466,O466:P466,R466:AA466)</f>
        <v>#N/A</v>
      </c>
      <c r="H466" s="19" t="e">
        <f>IF(ISBLANK(B466),0,+#REF!/B466)</f>
        <v>#REF!</v>
      </c>
      <c r="J466" s="101">
        <f>IF(ISBLANK(B466),0,+J$425)</f>
        <v>118.2</v>
      </c>
      <c r="K466" s="43">
        <f>ROUND($B466*K$425,2)</f>
        <v>-0.04</v>
      </c>
      <c r="N466" s="18">
        <f>K466</f>
        <v>-0.04</v>
      </c>
      <c r="O466" s="17">
        <f>IF($C466&gt;M$426,ROUND(M$426*M$425,2),ROUND($C466*M$425,2))</f>
        <v>1055</v>
      </c>
      <c r="P466" s="17">
        <f>IF($C466&gt;M$426,ROUND(($C466-M$426)*O$425,2),0)</f>
        <v>0</v>
      </c>
      <c r="Q466" s="17">
        <f>SUM(O466:P466)</f>
        <v>1055</v>
      </c>
      <c r="R466" s="16" t="e">
        <f>ROUND(SUM(N466:P466)*(R465-1),2)</f>
        <v>#N/A</v>
      </c>
      <c r="S466" s="43">
        <f>ROUND($B466*S$425*S465,2)</f>
        <v>0</v>
      </c>
      <c r="T466" s="43">
        <f>ROUND($B466*T$425,2)</f>
        <v>0</v>
      </c>
      <c r="U466" s="43">
        <f>ROUND($B466*U$425,2)</f>
        <v>0</v>
      </c>
      <c r="V466" s="42">
        <f>ROUND($B466*$V$420,2)</f>
        <v>0</v>
      </c>
      <c r="W466" s="43">
        <f>ROUND($B466*W$425,2)</f>
        <v>0</v>
      </c>
      <c r="X466" s="43">
        <f>ROUND($B466*X$425,2)</f>
        <v>0</v>
      </c>
      <c r="Y466" s="43">
        <f>ROUND($B466*Y$425,2)</f>
        <v>0</v>
      </c>
      <c r="Z466" s="43">
        <f>ROUND($B466*Z$425,2)</f>
        <v>0</v>
      </c>
      <c r="AA466" s="43">
        <f>ROUND($B466*AA$425,2)</f>
        <v>0</v>
      </c>
      <c r="AB466" s="19">
        <f>SUM(U$425:AA$425)+(-V$425+V434)</f>
        <v>-6.464000000000001E-3</v>
      </c>
      <c r="AC466" s="115" t="str">
        <f>+F466</f>
        <v>SL9</v>
      </c>
    </row>
    <row r="467" spans="1:123" ht="13" x14ac:dyDescent="0.3">
      <c r="A467" s="9"/>
      <c r="B467" s="128">
        <v>-1</v>
      </c>
      <c r="D467" s="107"/>
      <c r="E467" s="119"/>
      <c r="F467" s="37"/>
      <c r="G467" s="120"/>
      <c r="H467" s="19"/>
      <c r="J467" s="129"/>
      <c r="K467" s="120"/>
      <c r="O467" s="120"/>
      <c r="P467" s="120"/>
      <c r="Q467" s="120"/>
      <c r="R467" s="39" t="e">
        <f>INDEX('Pwr Factor'!$A$1:$B$52,MATCH((D468),'Pwr Factor'!$A$1:$A$52,0),2)</f>
        <v>#N/A</v>
      </c>
      <c r="S467" s="51">
        <v>0</v>
      </c>
      <c r="T467" s="120"/>
      <c r="U467" s="120"/>
      <c r="V467" s="107"/>
      <c r="W467" s="120"/>
      <c r="X467" s="120"/>
      <c r="Y467" s="120"/>
      <c r="Z467" s="120"/>
      <c r="AA467" s="120"/>
      <c r="AB467" s="19"/>
      <c r="AC467" s="130"/>
    </row>
    <row r="468" spans="1:123" ht="13" x14ac:dyDescent="0.3">
      <c r="A468" s="57" t="s">
        <v>172</v>
      </c>
      <c r="B468" s="111">
        <f>IF(AND('AES Indiana Sep 23 Bill Calc.'!$D$17="SL",'AES Indiana Sep 23 Bill Calc.'!$D$18="No",'AES Indiana Sep 23 Bill Calc.'!$D$20="Yes 2019"),'AES Indiana Sep 23 Bill Calc.'!$D$19,-1)</f>
        <v>-1</v>
      </c>
      <c r="C468" s="111">
        <f>MAX(E468,$C$426)</f>
        <v>50</v>
      </c>
      <c r="D468" s="111" t="b">
        <f>IF(AND('AES Indiana Sep 23 Bill Calc.'!$D$17="SL",'AES Indiana Sep 23 Bill Calc.'!$D$18="No",'AES Indiana Sep 23 Bill Calc.'!$D$20="Yes 2019"),'AES Indiana Sep 23 Bill Calc.'!$D$22)</f>
        <v>0</v>
      </c>
      <c r="E468" s="111" t="b">
        <f>IF(AND('AES Indiana Sep 23 Bill Calc.'!$D$17="SL",'AES Indiana Sep 23 Bill Calc.'!$D$18="No",'AES Indiana Sep 23 Bill Calc.'!$D$20="Yes 2019"),'AES Indiana Sep 23 Bill Calc.'!$D$21)</f>
        <v>0</v>
      </c>
      <c r="F468" s="37" t="s">
        <v>145</v>
      </c>
      <c r="G468" s="17" t="e">
        <f>SUM(J468:M468,O468:P468,R468:AA468)</f>
        <v>#N/A</v>
      </c>
      <c r="H468" s="19" t="e">
        <f>IF(ISBLANK(B468),0,+#REF!/B468)</f>
        <v>#REF!</v>
      </c>
      <c r="J468" s="101">
        <f>IF(ISBLANK(B468),0,+J$425)</f>
        <v>118.2</v>
      </c>
      <c r="K468" s="43">
        <f>ROUND($B468*K$425,2)</f>
        <v>-0.04</v>
      </c>
      <c r="N468" s="18">
        <f>K468</f>
        <v>-0.04</v>
      </c>
      <c r="O468" s="17">
        <f>IF($C468&gt;M$426,ROUND(M$426*M$425,2),ROUND($C468*M$425,2))</f>
        <v>1055</v>
      </c>
      <c r="P468" s="17">
        <f>IF($C468&gt;M$426,ROUND(($C468-M$426)*O$425,2),0)</f>
        <v>0</v>
      </c>
      <c r="Q468" s="17">
        <f>SUM(O468:P468)</f>
        <v>1055</v>
      </c>
      <c r="R468" s="16" t="e">
        <f>ROUND(SUM(N468:P468)*(R467-1),2)</f>
        <v>#N/A</v>
      </c>
      <c r="S468" s="43">
        <f>ROUND($B468*S$425*S467,2)</f>
        <v>0</v>
      </c>
      <c r="T468" s="43">
        <f>ROUND($B468*T$425,2)</f>
        <v>0</v>
      </c>
      <c r="U468" s="43">
        <f>ROUND($B468*U$425,2)</f>
        <v>0</v>
      </c>
      <c r="V468" s="42">
        <f>ROUND($B468*$V$420,2)</f>
        <v>0</v>
      </c>
      <c r="W468" s="43">
        <f>ROUND($B468*W$425,2)</f>
        <v>0</v>
      </c>
      <c r="X468" s="43">
        <f>ROUND($B468*X$425,2)</f>
        <v>0</v>
      </c>
      <c r="Y468" s="43">
        <f>ROUND($B468*Y$425,2)</f>
        <v>0</v>
      </c>
      <c r="Z468" s="43">
        <f>ROUND($B468*Z$425,2)</f>
        <v>0</v>
      </c>
      <c r="AA468" s="43">
        <f>ROUND($B468*AA$425,2)</f>
        <v>0</v>
      </c>
      <c r="AB468" s="19">
        <f>SUM(U$425:AA$425)+(-V$425+V436)</f>
        <v>-6.464000000000001E-3</v>
      </c>
      <c r="AC468" s="115" t="str">
        <f>+F468</f>
        <v>SL9</v>
      </c>
    </row>
    <row r="469" spans="1:123" ht="13" x14ac:dyDescent="0.3">
      <c r="A469" s="56"/>
      <c r="B469" s="128">
        <v>-1</v>
      </c>
      <c r="D469" s="107"/>
      <c r="E469" s="119"/>
      <c r="F469" s="37"/>
      <c r="G469" s="120"/>
      <c r="H469" s="19"/>
      <c r="J469" s="101"/>
      <c r="K469" s="43"/>
      <c r="O469" s="43"/>
      <c r="P469" s="43"/>
      <c r="Q469" s="43"/>
      <c r="R469" s="39" t="e">
        <f>INDEX('Pwr Factor'!$A$1:$B$52,MATCH((D470),'Pwr Factor'!$A$1:$A$52,0),2)</f>
        <v>#N/A</v>
      </c>
      <c r="S469" s="51">
        <v>1</v>
      </c>
      <c r="T469" s="43"/>
      <c r="U469" s="43"/>
      <c r="V469" s="42"/>
      <c r="W469" s="43"/>
      <c r="X469" s="43"/>
      <c r="Y469" s="43"/>
      <c r="Z469" s="43"/>
      <c r="AA469" s="43"/>
      <c r="AB469" s="19"/>
      <c r="AC469" s="78"/>
    </row>
    <row r="470" spans="1:123" s="21" customFormat="1" ht="13.5" thickBot="1" x14ac:dyDescent="0.35">
      <c r="A470" s="1" t="s">
        <v>73</v>
      </c>
      <c r="B470" s="111">
        <f>IF(AND('AES Indiana Sep 23 Bill Calc.'!$D$17="SL",'AES Indiana Sep 23 Bill Calc.'!$D$18="Yes 100%",'AES Indiana Sep 23 Bill Calc.'!$D$20="Yes 2020"),'AES Indiana Sep 23 Bill Calc.'!$D$19,-1)</f>
        <v>-1</v>
      </c>
      <c r="C470" s="111">
        <f>MAX(E470,$C$426)</f>
        <v>50</v>
      </c>
      <c r="D470" s="111" t="b">
        <f>IF(AND('AES Indiana Sep 23 Bill Calc.'!$D$17="SL",'AES Indiana Sep 23 Bill Calc.'!$D$18="Yes 100%",'AES Indiana Sep 23 Bill Calc.'!$D$20="Yes 2020"),'AES Indiana Sep 23 Bill Calc.'!$D$22)</f>
        <v>0</v>
      </c>
      <c r="E470" s="111" t="b">
        <f>IF(AND('AES Indiana Sep 23 Bill Calc.'!$D$17="SL",'AES Indiana Sep 23 Bill Calc.'!$D$18="Yes 100%",'AES Indiana Sep 23 Bill Calc.'!$D$20="Yes 2020"),'AES Indiana Sep 23 Bill Calc.'!$D$21)</f>
        <v>0</v>
      </c>
      <c r="F470" s="37" t="s">
        <v>146</v>
      </c>
      <c r="G470" s="17" t="e">
        <f>SUM(J470:M470,O470:P470,R470:AA470)</f>
        <v>#N/A</v>
      </c>
      <c r="H470" s="19" t="e">
        <f>IF(ISBLANK(B470),0,+#REF!/B470)</f>
        <v>#REF!</v>
      </c>
      <c r="I470"/>
      <c r="J470" s="101">
        <f>IF(ISBLANK(B470),0,+J$425)</f>
        <v>118.2</v>
      </c>
      <c r="K470" s="43">
        <f>ROUND($B470*K$425,2)</f>
        <v>-0.04</v>
      </c>
      <c r="L470"/>
      <c r="M470"/>
      <c r="N470" s="18">
        <f>K470</f>
        <v>-0.04</v>
      </c>
      <c r="O470" s="17">
        <f>IF($C470&gt;M$426,ROUND(M$426*M$425,2),ROUND($C470*M$425,2))</f>
        <v>1055</v>
      </c>
      <c r="P470" s="17">
        <f>IF($C470&gt;M$426,ROUND(($C470-M$426)*O$425,2),0)</f>
        <v>0</v>
      </c>
      <c r="Q470" s="17">
        <f>SUM(O470:P470)</f>
        <v>1055</v>
      </c>
      <c r="R470" s="16" t="e">
        <f>ROUND(SUM(N470:P470)*(R469-1),2)</f>
        <v>#N/A</v>
      </c>
      <c r="S470" s="43">
        <f>ROUND($B470*S$425*S469,2)</f>
        <v>0</v>
      </c>
      <c r="T470" s="43">
        <f>ROUND($B470*T$425,2)</f>
        <v>0</v>
      </c>
      <c r="U470" s="43">
        <f>ROUND($B470*U$425,2)</f>
        <v>0</v>
      </c>
      <c r="V470" s="42">
        <f>ROUND($B470*$V$421,2)</f>
        <v>0</v>
      </c>
      <c r="W470" s="43">
        <f>ROUND($B470*W$425,2)</f>
        <v>0</v>
      </c>
      <c r="X470" s="43">
        <f>ROUND($B470*X$425,2)</f>
        <v>0</v>
      </c>
      <c r="Y470" s="43">
        <f>ROUND($B470*Y$425,2)</f>
        <v>0</v>
      </c>
      <c r="Z470" s="43">
        <f>ROUND($B470*Z$425,2)</f>
        <v>0</v>
      </c>
      <c r="AA470" s="43">
        <f>ROUND($B470*AA$425,2)</f>
        <v>0</v>
      </c>
      <c r="AB470" s="19">
        <f>SUM(U$425:AA$425)+(-V$425+V430)</f>
        <v>-6.464000000000001E-3</v>
      </c>
      <c r="AC470" s="115" t="str">
        <f>+F470</f>
        <v>SL0</v>
      </c>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row>
    <row r="471" spans="1:123" ht="13" x14ac:dyDescent="0.3">
      <c r="A471" s="9"/>
      <c r="B471" s="128">
        <v>-1</v>
      </c>
      <c r="D471" s="107"/>
      <c r="E471" s="119"/>
      <c r="F471" s="37"/>
      <c r="G471" s="120"/>
      <c r="H471" s="19"/>
      <c r="J471" s="101"/>
      <c r="K471" s="43"/>
      <c r="O471" s="43"/>
      <c r="P471" s="43"/>
      <c r="Q471" s="43"/>
      <c r="R471" s="39" t="e">
        <f>INDEX('Pwr Factor'!$A$1:$B$52,MATCH((D472),'Pwr Factor'!$A$1:$A$52,0),2)</f>
        <v>#N/A</v>
      </c>
      <c r="S471" s="51">
        <v>0.5</v>
      </c>
      <c r="T471" s="43"/>
      <c r="U471" s="43"/>
      <c r="V471" s="42"/>
      <c r="W471" s="43"/>
      <c r="X471" s="43"/>
      <c r="Y471" s="43"/>
      <c r="Z471" s="43"/>
      <c r="AA471" s="43"/>
      <c r="AB471" s="19"/>
      <c r="AC471" s="78"/>
    </row>
    <row r="472" spans="1:123" ht="13" x14ac:dyDescent="0.3">
      <c r="A472" s="57" t="s">
        <v>171</v>
      </c>
      <c r="B472" s="111">
        <f>IF(AND('AES Indiana Sep 23 Bill Calc.'!$D$17="SL",'AES Indiana Sep 23 Bill Calc.'!$D$18="Yes 50%",'AES Indiana Sep 23 Bill Calc.'!$D$20="Yes 2020"),'AES Indiana Sep 23 Bill Calc.'!$D$19,-1)</f>
        <v>-1</v>
      </c>
      <c r="C472" s="111">
        <f>MAX(E472,$C$426)</f>
        <v>50</v>
      </c>
      <c r="D472" s="111" t="b">
        <f>IF(AND('AES Indiana Sep 23 Bill Calc.'!$D$17="SL",'AES Indiana Sep 23 Bill Calc.'!$D$18="Yes 50%",'AES Indiana Sep 23 Bill Calc.'!$D$20="Yes 2020"),'AES Indiana Sep 23 Bill Calc.'!$D$22)</f>
        <v>0</v>
      </c>
      <c r="E472" s="111" t="b">
        <f>IF(AND('AES Indiana Sep 23 Bill Calc.'!$D$17="SL",'AES Indiana Sep 23 Bill Calc.'!$D$18="Yes 50%",'AES Indiana Sep 23 Bill Calc.'!$D$20="Yes 2020"),'AES Indiana Sep 23 Bill Calc.'!$D$21)</f>
        <v>0</v>
      </c>
      <c r="F472" s="37" t="s">
        <v>146</v>
      </c>
      <c r="G472" s="17" t="e">
        <f>SUM(J472:M472,O472:P472,R472:AA472)</f>
        <v>#N/A</v>
      </c>
      <c r="H472" s="19" t="e">
        <f>IF(ISBLANK(B472),0,+#REF!/B472)</f>
        <v>#REF!</v>
      </c>
      <c r="J472" s="101">
        <f>IF(ISBLANK(B472),0,+J$425)</f>
        <v>118.2</v>
      </c>
      <c r="K472" s="43">
        <f>ROUND($B472*K$425,2)</f>
        <v>-0.04</v>
      </c>
      <c r="N472" s="18">
        <f>K472</f>
        <v>-0.04</v>
      </c>
      <c r="O472" s="17">
        <f>IF($C472&gt;M$426,ROUND(M$426*M$425,2),ROUND($C472*M$425,2))</f>
        <v>1055</v>
      </c>
      <c r="P472" s="17">
        <f>IF($C472&gt;M$426,ROUND(($C472-M$426)*O$425,2),0)</f>
        <v>0</v>
      </c>
      <c r="Q472" s="17">
        <f>SUM(O472:P472)</f>
        <v>1055</v>
      </c>
      <c r="R472" s="16" t="e">
        <f>ROUND(SUM(N472:P472)*(R471-1),2)</f>
        <v>#N/A</v>
      </c>
      <c r="S472" s="43">
        <f>ROUND($B472*S$425*S471,2)</f>
        <v>0</v>
      </c>
      <c r="T472" s="43">
        <f>ROUND($B472*T$425,2)</f>
        <v>0</v>
      </c>
      <c r="U472" s="43">
        <f>ROUND($B472*U$425,2)</f>
        <v>0</v>
      </c>
      <c r="V472" s="42">
        <f>ROUND($B472*$V$421,2)</f>
        <v>0</v>
      </c>
      <c r="W472" s="43">
        <f>ROUND($B472*W$425,2)</f>
        <v>0</v>
      </c>
      <c r="X472" s="43">
        <f>ROUND($B472*X$425,2)</f>
        <v>0</v>
      </c>
      <c r="Y472" s="43">
        <f>ROUND($B472*Y$425,2)</f>
        <v>0</v>
      </c>
      <c r="Z472" s="43">
        <f>ROUND($B472*Z$425,2)</f>
        <v>0</v>
      </c>
      <c r="AA472" s="43">
        <f>ROUND($B472*AA$425,2)</f>
        <v>0</v>
      </c>
      <c r="AB472" s="19">
        <f>SUM(U$425:AA$425)+(-V$425+V432)</f>
        <v>-6.464000000000001E-3</v>
      </c>
      <c r="AC472" s="115" t="str">
        <f>+F472</f>
        <v>SL0</v>
      </c>
    </row>
    <row r="473" spans="1:123" ht="13" x14ac:dyDescent="0.3">
      <c r="A473" s="9"/>
      <c r="B473" s="128">
        <v>-1</v>
      </c>
      <c r="D473" s="107"/>
      <c r="E473" s="119"/>
      <c r="F473" s="37"/>
      <c r="G473" s="120"/>
      <c r="H473" s="19"/>
      <c r="J473" s="101"/>
      <c r="K473" s="43"/>
      <c r="O473" s="43"/>
      <c r="P473" s="43"/>
      <c r="Q473" s="43"/>
      <c r="R473" s="39" t="e">
        <f>INDEX('Pwr Factor'!$A$1:$B$52,MATCH((D474),'Pwr Factor'!$A$1:$A$52,0),2)</f>
        <v>#N/A</v>
      </c>
      <c r="S473" s="51">
        <v>0.25</v>
      </c>
      <c r="T473" s="43"/>
      <c r="U473" s="43"/>
      <c r="V473" s="42"/>
      <c r="W473" s="43"/>
      <c r="X473" s="43"/>
      <c r="Y473" s="43"/>
      <c r="Z473" s="43"/>
      <c r="AA473" s="43"/>
      <c r="AB473" s="19"/>
      <c r="AC473" s="78"/>
    </row>
    <row r="474" spans="1:123" ht="13" x14ac:dyDescent="0.3">
      <c r="A474" s="57" t="s">
        <v>158</v>
      </c>
      <c r="B474" s="111">
        <f>IF(AND('AES Indiana Sep 23 Bill Calc.'!$D$17="SL",'AES Indiana Sep 23 Bill Calc.'!$D$18="Yes 25%",'AES Indiana Sep 23 Bill Calc.'!$D$20="Yes 2020"),'AES Indiana Sep 23 Bill Calc.'!$D$19,-1)</f>
        <v>-1</v>
      </c>
      <c r="C474" s="111">
        <f>MAX(E474,$C$426)</f>
        <v>50</v>
      </c>
      <c r="D474" s="111" t="b">
        <f>IF(AND('AES Indiana Sep 23 Bill Calc.'!$D$17="SL",'AES Indiana Sep 23 Bill Calc.'!$D$18="Yes 25%",'AES Indiana Sep 23 Bill Calc.'!$D$20="Yes 2020"),'AES Indiana Sep 23 Bill Calc.'!$D$22)</f>
        <v>0</v>
      </c>
      <c r="E474" s="111" t="b">
        <f>IF(AND('AES Indiana Sep 23 Bill Calc.'!$D$17="SL",'AES Indiana Sep 23 Bill Calc.'!$D$18="Yes 25%",'AES Indiana Sep 23 Bill Calc.'!$D$20="Yes 2020"),'AES Indiana Sep 23 Bill Calc.'!$D$21)</f>
        <v>0</v>
      </c>
      <c r="F474" s="37" t="s">
        <v>146</v>
      </c>
      <c r="G474" s="17" t="e">
        <f>SUM(J474:M474,O474:P474,R474:AA474)</f>
        <v>#N/A</v>
      </c>
      <c r="H474" s="19" t="e">
        <f>IF(ISBLANK(B474),0,+#REF!/B474)</f>
        <v>#REF!</v>
      </c>
      <c r="J474" s="101">
        <f>IF(ISBLANK(B474),0,+J$425)</f>
        <v>118.2</v>
      </c>
      <c r="K474" s="43">
        <f>ROUND($B474*K$425,2)</f>
        <v>-0.04</v>
      </c>
      <c r="N474" s="18">
        <f>K474</f>
        <v>-0.04</v>
      </c>
      <c r="O474" s="17">
        <f>IF($C474&gt;M$426,ROUND(M$426*M$425,2),ROUND($C474*M$425,2))</f>
        <v>1055</v>
      </c>
      <c r="P474" s="17">
        <f>IF($C474&gt;M$426,ROUND(($C474-M$426)*O$425,2),0)</f>
        <v>0</v>
      </c>
      <c r="Q474" s="17">
        <f>SUM(O474:P474)</f>
        <v>1055</v>
      </c>
      <c r="R474" s="16" t="e">
        <f>ROUND(SUM(N474:P474)*(R473-1),2)</f>
        <v>#N/A</v>
      </c>
      <c r="S474" s="43">
        <f>ROUND($B474*S$425*S473,2)</f>
        <v>0</v>
      </c>
      <c r="T474" s="43">
        <f>ROUND($B474*T$425,2)</f>
        <v>0</v>
      </c>
      <c r="U474" s="43">
        <f>ROUND($B474*U$425,2)</f>
        <v>0</v>
      </c>
      <c r="V474" s="42">
        <f>ROUND($B474*$V$421,2)</f>
        <v>0</v>
      </c>
      <c r="W474" s="43">
        <f>ROUND($B474*W$425,2)</f>
        <v>0</v>
      </c>
      <c r="X474" s="43">
        <f>ROUND($B474*X$425,2)</f>
        <v>0</v>
      </c>
      <c r="Y474" s="43">
        <f>ROUND($B474*Y$425,2)</f>
        <v>0</v>
      </c>
      <c r="Z474" s="43">
        <f>ROUND($B474*Z$425,2)</f>
        <v>0</v>
      </c>
      <c r="AA474" s="43">
        <f>ROUND($B474*AA$425,2)</f>
        <v>0</v>
      </c>
      <c r="AB474" s="19">
        <f>SUM(U$425:AA$425)+(-V$425+V434)</f>
        <v>-6.464000000000001E-3</v>
      </c>
      <c r="AC474" s="115" t="str">
        <f>+F474</f>
        <v>SL0</v>
      </c>
    </row>
    <row r="475" spans="1:123" ht="13" x14ac:dyDescent="0.3">
      <c r="A475" s="9"/>
      <c r="B475" s="128">
        <v>-1</v>
      </c>
      <c r="D475" s="107"/>
      <c r="E475" s="119"/>
      <c r="F475" s="37"/>
      <c r="G475" s="120"/>
      <c r="H475" s="19"/>
      <c r="J475" s="101"/>
      <c r="K475" s="43"/>
      <c r="O475" s="43"/>
      <c r="P475" s="43"/>
      <c r="Q475" s="43"/>
      <c r="R475" s="39" t="e">
        <f>INDEX('Pwr Factor'!$A$1:$B$52,MATCH((D476),'Pwr Factor'!$A$1:$A$52,0),2)</f>
        <v>#N/A</v>
      </c>
      <c r="S475" s="51">
        <v>0.1</v>
      </c>
      <c r="T475" s="43"/>
      <c r="U475" s="43"/>
      <c r="V475" s="42"/>
      <c r="W475" s="43"/>
      <c r="X475" s="43"/>
      <c r="Y475" s="43"/>
      <c r="Z475" s="43"/>
      <c r="AA475" s="43"/>
      <c r="AB475" s="19"/>
      <c r="AC475" s="78"/>
    </row>
    <row r="476" spans="1:123" ht="13" x14ac:dyDescent="0.3">
      <c r="A476" s="57" t="s">
        <v>173</v>
      </c>
      <c r="B476" s="111">
        <f>IF(AND('AES Indiana Sep 23 Bill Calc.'!$D$17="SL",'AES Indiana Sep 23 Bill Calc.'!$D$18="Yes 10%",'AES Indiana Sep 23 Bill Calc.'!$D$20="Yes 2020"),'AES Indiana Sep 23 Bill Calc.'!$D$19,-1)</f>
        <v>-1</v>
      </c>
      <c r="C476" s="111">
        <f>MAX(E476,$C$426)</f>
        <v>50</v>
      </c>
      <c r="D476" s="111" t="b">
        <f>IF(AND('AES Indiana Sep 23 Bill Calc.'!$D$17="SL",'AES Indiana Sep 23 Bill Calc.'!$D$18="Yes 10%",'AES Indiana Sep 23 Bill Calc.'!$D$20="Yes 2020"),'AES Indiana Sep 23 Bill Calc.'!$D$22)</f>
        <v>0</v>
      </c>
      <c r="E476" s="111" t="b">
        <f>IF(AND('AES Indiana Sep 23 Bill Calc.'!$D$17="SL",'AES Indiana Sep 23 Bill Calc.'!$D$18="Yes 10%",'AES Indiana Sep 23 Bill Calc.'!$D$20="Yes 2020"),'AES Indiana Sep 23 Bill Calc.'!$D$21)</f>
        <v>0</v>
      </c>
      <c r="F476" s="37" t="s">
        <v>146</v>
      </c>
      <c r="G476" s="17" t="e">
        <f>SUM(J476:M476,O476:P476,R476:AA476)</f>
        <v>#N/A</v>
      </c>
      <c r="H476" s="19" t="e">
        <f>IF(ISBLANK(B476),0,+#REF!/B476)</f>
        <v>#REF!</v>
      </c>
      <c r="J476" s="101">
        <f>IF(ISBLANK(B476),0,+J$425)</f>
        <v>118.2</v>
      </c>
      <c r="K476" s="43">
        <f>ROUND($B476*K$425,2)</f>
        <v>-0.04</v>
      </c>
      <c r="N476" s="18">
        <f>K476</f>
        <v>-0.04</v>
      </c>
      <c r="O476" s="17">
        <f>IF($C476&gt;M$426,ROUND(M$426*M$425,2),ROUND($C476*M$425,2))</f>
        <v>1055</v>
      </c>
      <c r="P476" s="17">
        <f>IF($C476&gt;M$426,ROUND(($C476-M$426)*O$425,2),0)</f>
        <v>0</v>
      </c>
      <c r="Q476" s="17">
        <f>SUM(O476:P476)</f>
        <v>1055</v>
      </c>
      <c r="R476" s="16" t="e">
        <f>ROUND(SUM(N476:P476)*(R475-1),2)</f>
        <v>#N/A</v>
      </c>
      <c r="S476" s="43">
        <f>ROUND($B476*S$425*S475,2)</f>
        <v>0</v>
      </c>
      <c r="T476" s="43">
        <f>ROUND($B476*T$425,2)</f>
        <v>0</v>
      </c>
      <c r="U476" s="43">
        <f>ROUND($B476*U$425,2)</f>
        <v>0</v>
      </c>
      <c r="V476" s="42">
        <f>ROUND($B476*$V$421,2)</f>
        <v>0</v>
      </c>
      <c r="W476" s="43">
        <f>ROUND($B476*W$425,2)</f>
        <v>0</v>
      </c>
      <c r="X476" s="43">
        <f>ROUND($B476*X$425,2)</f>
        <v>0</v>
      </c>
      <c r="Y476" s="43">
        <f>ROUND($B476*Y$425,2)</f>
        <v>0</v>
      </c>
      <c r="Z476" s="43">
        <f>ROUND($B476*Z$425,2)</f>
        <v>0</v>
      </c>
      <c r="AA476" s="43">
        <f>ROUND($B476*AA$425,2)</f>
        <v>0</v>
      </c>
      <c r="AB476" s="19">
        <f>SUM(U$425:AA$425)+(-V$425+V436)</f>
        <v>-6.464000000000001E-3</v>
      </c>
      <c r="AC476" s="115" t="str">
        <f>+F476</f>
        <v>SL0</v>
      </c>
    </row>
    <row r="477" spans="1:123" ht="13" x14ac:dyDescent="0.3">
      <c r="A477" s="9"/>
      <c r="B477" s="128">
        <v>-1</v>
      </c>
      <c r="D477" s="107"/>
      <c r="E477" s="119"/>
      <c r="F477" s="37"/>
      <c r="G477" s="120"/>
      <c r="H477" s="19"/>
      <c r="J477" s="101"/>
      <c r="K477" s="43"/>
      <c r="O477" s="43"/>
      <c r="P477" s="43"/>
      <c r="Q477" s="43"/>
      <c r="R477" s="39" t="e">
        <f>INDEX('Pwr Factor'!$A$1:$B$52,MATCH((D478),'Pwr Factor'!$A$1:$A$52,0),2)</f>
        <v>#N/A</v>
      </c>
      <c r="S477" s="51">
        <v>0</v>
      </c>
      <c r="T477" s="43"/>
      <c r="U477" s="43"/>
      <c r="V477" s="42"/>
      <c r="W477" s="43"/>
      <c r="X477" s="43"/>
      <c r="Y477" s="43"/>
      <c r="Z477" s="43"/>
      <c r="AA477" s="43"/>
      <c r="AB477" s="19"/>
      <c r="AC477" s="115"/>
    </row>
    <row r="478" spans="1:123" ht="13" x14ac:dyDescent="0.3">
      <c r="A478" s="57" t="s">
        <v>172</v>
      </c>
      <c r="B478" s="111">
        <f>IF(AND('AES Indiana Sep 23 Bill Calc.'!$D$17="SL",'AES Indiana Sep 23 Bill Calc.'!$D$18="No",'AES Indiana Sep 23 Bill Calc.'!$D$20="Yes 2020"),'AES Indiana Sep 23 Bill Calc.'!$D$19,-1)</f>
        <v>-1</v>
      </c>
      <c r="C478" s="111">
        <f>MAX(E478,$C$426)</f>
        <v>50</v>
      </c>
      <c r="D478" s="111" t="b">
        <f>IF(AND('AES Indiana Sep 23 Bill Calc.'!$D$17="SL",'AES Indiana Sep 23 Bill Calc.'!$D$18="No",'AES Indiana Sep 23 Bill Calc.'!$D$20="Yes 2020"),'AES Indiana Sep 23 Bill Calc.'!$D$22)</f>
        <v>0</v>
      </c>
      <c r="E478" s="111" t="b">
        <f>IF(AND('AES Indiana Sep 23 Bill Calc.'!$D$17="SL",'AES Indiana Sep 23 Bill Calc.'!$D$18="No",'AES Indiana Sep 23 Bill Calc.'!$D$20="Yes 2020"),'AES Indiana Sep 23 Bill Calc.'!$D$21)</f>
        <v>0</v>
      </c>
      <c r="F478" s="37" t="s">
        <v>146</v>
      </c>
      <c r="G478" s="17" t="e">
        <f>SUM(J478:M478,O478:P478,R478:AA478)</f>
        <v>#N/A</v>
      </c>
      <c r="H478" s="19" t="e">
        <f>IF(ISBLANK(B478),0,+#REF!/B478)</f>
        <v>#REF!</v>
      </c>
      <c r="J478" s="101">
        <f>IF(ISBLANK(B478),0,+J$425)</f>
        <v>118.2</v>
      </c>
      <c r="K478" s="43">
        <f>ROUND($B478*K$425,2)</f>
        <v>-0.04</v>
      </c>
      <c r="N478" s="18">
        <f>K478</f>
        <v>-0.04</v>
      </c>
      <c r="O478" s="17">
        <f>IF($C478&gt;M$426,ROUND(M$426*M$425,2),ROUND($C478*M$425,2))</f>
        <v>1055</v>
      </c>
      <c r="P478" s="17">
        <f>IF($C478&gt;M$426,ROUND(($C478-M$426)*O$425,2),0)</f>
        <v>0</v>
      </c>
      <c r="Q478" s="43">
        <f>SUM(O478:P478)</f>
        <v>1055</v>
      </c>
      <c r="R478" s="16" t="e">
        <f>ROUND(SUM(N478:P478)*(R477-1),2)</f>
        <v>#N/A</v>
      </c>
      <c r="S478" s="43">
        <f>ROUND($B478*S$425*S477,2)</f>
        <v>0</v>
      </c>
      <c r="T478" s="43">
        <f>ROUND($B478*T$425,2)</f>
        <v>0</v>
      </c>
      <c r="U478" s="43">
        <f>ROUND($B478*U$425,2)</f>
        <v>0</v>
      </c>
      <c r="V478" s="42">
        <f>ROUND($B478*$V$421,2)</f>
        <v>0</v>
      </c>
      <c r="W478" s="43">
        <f>ROUND($B478*W$425,2)</f>
        <v>0</v>
      </c>
      <c r="X478" s="43">
        <f>ROUND($B478*X$425,2)</f>
        <v>0</v>
      </c>
      <c r="Y478" s="43">
        <f>ROUND($B478*Y$425,2)</f>
        <v>0</v>
      </c>
      <c r="Z478" s="43">
        <f>ROUND($B478*Z$425,2)</f>
        <v>0</v>
      </c>
      <c r="AA478" s="43">
        <f>ROUND($B478*AA$425,2)</f>
        <v>0</v>
      </c>
      <c r="AB478" s="19">
        <f>SUM(U$425:AA$425)+(-V$425+V438)</f>
        <v>-6.464000000000001E-3</v>
      </c>
      <c r="AC478" s="115" t="str">
        <f>+F478</f>
        <v>SL0</v>
      </c>
    </row>
    <row r="479" spans="1:123" ht="13" x14ac:dyDescent="0.3">
      <c r="A479" s="56"/>
      <c r="B479" s="128">
        <v>-1</v>
      </c>
      <c r="D479" s="42"/>
      <c r="E479" s="96"/>
      <c r="F479" s="37"/>
      <c r="G479" s="120"/>
      <c r="H479" s="19"/>
      <c r="J479" s="101"/>
      <c r="K479" s="43"/>
      <c r="O479" s="43"/>
      <c r="P479" s="43"/>
      <c r="Q479" s="43"/>
      <c r="R479" s="39" t="e">
        <f>INDEX('Pwr Factor'!$A$1:$B$52,MATCH((D480),'Pwr Factor'!$A$1:$A$52,0),2)</f>
        <v>#N/A</v>
      </c>
      <c r="S479" s="51">
        <v>1</v>
      </c>
      <c r="T479" s="43"/>
      <c r="U479" s="43"/>
      <c r="V479" s="42"/>
      <c r="W479" s="43"/>
      <c r="X479" s="43"/>
      <c r="Y479" s="43"/>
      <c r="Z479" s="43"/>
      <c r="AA479" s="43"/>
      <c r="AB479" s="19"/>
      <c r="AC479" s="115"/>
    </row>
    <row r="480" spans="1:123" ht="13" x14ac:dyDescent="0.3">
      <c r="A480" s="1" t="s">
        <v>73</v>
      </c>
      <c r="B480" s="111">
        <f>IF(AND('AES Indiana Sep 23 Bill Calc.'!$D$17="SL",'AES Indiana Sep 23 Bill Calc.'!$D$18="Yes 100%",'AES Indiana Sep 23 Bill Calc.'!$D$20="Yes 2021"),'AES Indiana Sep 23 Bill Calc.'!$D$19,-1)</f>
        <v>-1</v>
      </c>
      <c r="C480" s="111">
        <f>MAX(E480,$C$426)</f>
        <v>50</v>
      </c>
      <c r="D480" s="111" t="b">
        <f>IF(AND('AES Indiana Sep 23 Bill Calc.'!$D$17="SL",'AES Indiana Sep 23 Bill Calc.'!$D$18="Yes 100%",'AES Indiana Sep 23 Bill Calc.'!$D$20="Yes 2021"),'AES Indiana Sep 23 Bill Calc.'!$D$22)</f>
        <v>0</v>
      </c>
      <c r="E480" s="111" t="b">
        <f>IF(AND('AES Indiana Sep 23 Bill Calc.'!$D$17="SL",'AES Indiana Sep 23 Bill Calc.'!$D$18="Yes 100%",'AES Indiana Sep 23 Bill Calc.'!$D$20="Yes 2021"),'AES Indiana Sep 23 Bill Calc.'!$D$21)</f>
        <v>0</v>
      </c>
      <c r="F480" s="37" t="s">
        <v>166</v>
      </c>
      <c r="G480" s="17" t="e">
        <f>SUM(J480:M480,O480:P480,R480:AA480)</f>
        <v>#N/A</v>
      </c>
      <c r="H480" s="19" t="e">
        <f>IF(ISBLANK(B480),0,+#REF!/B480)</f>
        <v>#REF!</v>
      </c>
      <c r="J480" s="101">
        <f>IF(ISBLANK(B480),0,+J$425)</f>
        <v>118.2</v>
      </c>
      <c r="K480" s="43">
        <f>ROUND($B480*K$425,2)</f>
        <v>-0.04</v>
      </c>
      <c r="N480" s="18">
        <f>K480</f>
        <v>-0.04</v>
      </c>
      <c r="O480" s="17">
        <f>IF($C480&gt;M$426,ROUND(M$426*M$425,2),ROUND($C480*M$425,2))</f>
        <v>1055</v>
      </c>
      <c r="P480" s="17">
        <f>IF($C480&gt;M$426,ROUND(($C480-M$426)*O$425,2),0)</f>
        <v>0</v>
      </c>
      <c r="Q480" s="43">
        <f>SUM(O480:P480)</f>
        <v>1055</v>
      </c>
      <c r="R480" s="16" t="e">
        <f>ROUND(SUM(N480:P480)*(R479-1),2)</f>
        <v>#N/A</v>
      </c>
      <c r="S480" s="43">
        <f>ROUND($B480*S$425*S479,2)</f>
        <v>0</v>
      </c>
      <c r="T480" s="43">
        <f>ROUND($B480*T$425,2)</f>
        <v>0</v>
      </c>
      <c r="U480" s="43">
        <f>ROUND($B480*U$425,2)</f>
        <v>0</v>
      </c>
      <c r="V480" s="42">
        <f>ROUND($B480*$V$422,2)</f>
        <v>0</v>
      </c>
      <c r="W480" s="43">
        <f>ROUND($B480*W$425,2)</f>
        <v>0</v>
      </c>
      <c r="X480" s="43">
        <f>ROUND($B480*X$425,2)</f>
        <v>0</v>
      </c>
      <c r="Y480" s="43">
        <f>ROUND($B480*Y$425,2)</f>
        <v>0</v>
      </c>
      <c r="Z480" s="43">
        <f>ROUND($B480*Z$425,2)</f>
        <v>0</v>
      </c>
      <c r="AA480" s="43">
        <f>ROUND($B480*AA$425,2)</f>
        <v>0</v>
      </c>
      <c r="AB480" s="19" t="e">
        <f>SUM(U$425:AA$425)+(-V$425+#REF!)</f>
        <v>#REF!</v>
      </c>
      <c r="AC480" s="115" t="str">
        <f>+F480</f>
        <v>SL1</v>
      </c>
    </row>
    <row r="481" spans="1:29" ht="13" x14ac:dyDescent="0.3">
      <c r="A481" s="9"/>
      <c r="B481" s="128">
        <v>-1</v>
      </c>
      <c r="D481" s="107"/>
      <c r="E481" s="119"/>
      <c r="F481" s="37"/>
      <c r="G481" s="120"/>
      <c r="H481" s="19"/>
      <c r="J481" s="101"/>
      <c r="K481" s="43"/>
      <c r="O481" s="43"/>
      <c r="P481" s="43"/>
      <c r="Q481" s="43"/>
      <c r="R481" s="39" t="e">
        <f>INDEX('Pwr Factor'!$A$1:$B$52,MATCH((D482),'Pwr Factor'!$A$1:$A$52,0),2)</f>
        <v>#N/A</v>
      </c>
      <c r="S481" s="51">
        <v>0.5</v>
      </c>
      <c r="T481" s="43"/>
      <c r="U481" s="43"/>
      <c r="V481" s="42"/>
      <c r="W481" s="43"/>
      <c r="X481" s="43"/>
      <c r="Y481" s="43"/>
      <c r="Z481" s="43"/>
      <c r="AA481" s="43"/>
      <c r="AB481" s="19"/>
      <c r="AC481" s="115"/>
    </row>
    <row r="482" spans="1:29" ht="13" x14ac:dyDescent="0.3">
      <c r="A482" s="57" t="s">
        <v>171</v>
      </c>
      <c r="B482" s="111">
        <f>IF(AND('AES Indiana Sep 23 Bill Calc.'!$D$17="SL",'AES Indiana Sep 23 Bill Calc.'!$D$18="Yes 50%",'AES Indiana Sep 23 Bill Calc.'!$D$20="Yes 2021"),'AES Indiana Sep 23 Bill Calc.'!$D$19,-1)</f>
        <v>-1</v>
      </c>
      <c r="C482" s="111">
        <f>MAX(E482,$C$426)</f>
        <v>50</v>
      </c>
      <c r="D482" s="111" t="b">
        <f>IF(AND('AES Indiana Sep 23 Bill Calc.'!$D$17="SL",'AES Indiana Sep 23 Bill Calc.'!$D$18="Yes 50%",'AES Indiana Sep 23 Bill Calc.'!$D$20="Yes 2021"),'AES Indiana Sep 23 Bill Calc.'!$D$22)</f>
        <v>0</v>
      </c>
      <c r="E482" s="111" t="b">
        <f>IF(AND('AES Indiana Sep 23 Bill Calc.'!$D$17="SL",'AES Indiana Sep 23 Bill Calc.'!$D$18="Yes 50%",'AES Indiana Sep 23 Bill Calc.'!$D$20="Yes 2021"),'AES Indiana Sep 23 Bill Calc.'!$D$21)</f>
        <v>0</v>
      </c>
      <c r="F482" s="37" t="s">
        <v>166</v>
      </c>
      <c r="G482" s="17" t="e">
        <f>SUM(J482:M482,O482:P482,R482:AA482)</f>
        <v>#N/A</v>
      </c>
      <c r="H482" s="19" t="e">
        <f>IF(ISBLANK(B482),0,+#REF!/B482)</f>
        <v>#REF!</v>
      </c>
      <c r="J482" s="101">
        <f>IF(ISBLANK(B482),0,+J$425)</f>
        <v>118.2</v>
      </c>
      <c r="K482" s="43">
        <f>ROUND($B482*K$425,2)</f>
        <v>-0.04</v>
      </c>
      <c r="N482" s="18">
        <f>K482</f>
        <v>-0.04</v>
      </c>
      <c r="O482" s="17">
        <f>IF($C482&gt;M$426,ROUND(M$426*M$425,2),ROUND($C482*M$425,2))</f>
        <v>1055</v>
      </c>
      <c r="P482" s="17">
        <f>IF($C482&gt;M$426,ROUND(($C482-M$426)*O$425,2),0)</f>
        <v>0</v>
      </c>
      <c r="Q482" s="43">
        <f>SUM(O482:P482)</f>
        <v>1055</v>
      </c>
      <c r="R482" s="16" t="e">
        <f>ROUND(SUM(N482:P482)*(R481-1),2)</f>
        <v>#N/A</v>
      </c>
      <c r="S482" s="43">
        <f>ROUND($B482*S$425*S481,2)</f>
        <v>0</v>
      </c>
      <c r="T482" s="43">
        <f>ROUND($B482*T$425,2)</f>
        <v>0</v>
      </c>
      <c r="U482" s="43">
        <f>ROUND($B482*U$425,2)</f>
        <v>0</v>
      </c>
      <c r="V482" s="42">
        <f>ROUND($B482*$V$422,2)</f>
        <v>0</v>
      </c>
      <c r="W482" s="43">
        <f>ROUND($B482*W$425,2)</f>
        <v>0</v>
      </c>
      <c r="X482" s="43">
        <f>ROUND($B482*X$425,2)</f>
        <v>0</v>
      </c>
      <c r="Y482" s="43">
        <f>ROUND($B482*Y$425,2)</f>
        <v>0</v>
      </c>
      <c r="Z482" s="43">
        <f>ROUND($B482*Z$425,2)</f>
        <v>0</v>
      </c>
      <c r="AA482" s="43">
        <f>ROUND($B482*AA$425,2)</f>
        <v>0</v>
      </c>
      <c r="AB482" s="19" t="e">
        <f>SUM(U$425:AA$425)+(-V$425+#REF!)</f>
        <v>#REF!</v>
      </c>
      <c r="AC482" s="115" t="str">
        <f>+F482</f>
        <v>SL1</v>
      </c>
    </row>
    <row r="483" spans="1:29" ht="13" x14ac:dyDescent="0.3">
      <c r="A483" s="9"/>
      <c r="B483" s="128">
        <v>-1</v>
      </c>
      <c r="D483" s="107"/>
      <c r="E483" s="119"/>
      <c r="F483" s="37"/>
      <c r="G483" s="120"/>
      <c r="H483" s="19"/>
      <c r="J483" s="101"/>
      <c r="K483" s="43"/>
      <c r="O483" s="43"/>
      <c r="P483" s="43"/>
      <c r="Q483" s="43"/>
      <c r="R483" s="39" t="e">
        <f>INDEX('Pwr Factor'!$A$1:$B$52,MATCH((D484),'Pwr Factor'!$A$1:$A$52,0),2)</f>
        <v>#N/A</v>
      </c>
      <c r="S483" s="51">
        <v>0.25</v>
      </c>
      <c r="T483" s="43"/>
      <c r="U483" s="43"/>
      <c r="V483" s="42"/>
      <c r="W483" s="43"/>
      <c r="X483" s="43"/>
      <c r="Y483" s="43"/>
      <c r="Z483" s="43"/>
      <c r="AA483" s="43"/>
      <c r="AB483" s="19"/>
      <c r="AC483" s="115"/>
    </row>
    <row r="484" spans="1:29" ht="13" x14ac:dyDescent="0.3">
      <c r="A484" s="57" t="s">
        <v>158</v>
      </c>
      <c r="B484" s="111">
        <f>IF(AND('AES Indiana Sep 23 Bill Calc.'!$D$17="SL",'AES Indiana Sep 23 Bill Calc.'!$D$18="Yes 25%",'AES Indiana Sep 23 Bill Calc.'!$D$20="Yes 2021"),'AES Indiana Sep 23 Bill Calc.'!$D$19,-1)</f>
        <v>-1</v>
      </c>
      <c r="C484" s="111">
        <f>MAX(E484,$C$426)</f>
        <v>50</v>
      </c>
      <c r="D484" s="111" t="b">
        <f>IF(AND('AES Indiana Sep 23 Bill Calc.'!$D$17="SL",'AES Indiana Sep 23 Bill Calc.'!$D$18="Yes 25%",'AES Indiana Sep 23 Bill Calc.'!$D$20="Yes 2021"),'AES Indiana Sep 23 Bill Calc.'!$D$22)</f>
        <v>0</v>
      </c>
      <c r="E484" s="111" t="b">
        <f>IF(AND('AES Indiana Sep 23 Bill Calc.'!$D$17="SL",'AES Indiana Sep 23 Bill Calc.'!$D$18="Yes 25%",'AES Indiana Sep 23 Bill Calc.'!$D$20="Yes 2021"),'AES Indiana Sep 23 Bill Calc.'!$D$21)</f>
        <v>0</v>
      </c>
      <c r="F484" s="37" t="s">
        <v>166</v>
      </c>
      <c r="G484" s="17" t="e">
        <f>SUM(J484:M484,O484:P484,R484:AA484)</f>
        <v>#N/A</v>
      </c>
      <c r="H484" s="19" t="e">
        <f>IF(ISBLANK(B484),0,+#REF!/B484)</f>
        <v>#REF!</v>
      </c>
      <c r="J484" s="101">
        <f>IF(ISBLANK(B484),0,+J$425)</f>
        <v>118.2</v>
      </c>
      <c r="K484" s="43">
        <f>ROUND($B484*K$425,2)</f>
        <v>-0.04</v>
      </c>
      <c r="N484" s="18">
        <f>K484</f>
        <v>-0.04</v>
      </c>
      <c r="O484" s="17">
        <f>IF($C484&gt;M$426,ROUND(M$426*M$425,2),ROUND($C484*M$425,2))</f>
        <v>1055</v>
      </c>
      <c r="P484" s="17">
        <f>IF($C484&gt;M$426,ROUND(($C484-M$426)*O$425,2),0)</f>
        <v>0</v>
      </c>
      <c r="Q484" s="43">
        <f>SUM(O484:P484)</f>
        <v>1055</v>
      </c>
      <c r="R484" s="16" t="e">
        <f>ROUND(SUM(N484:P484)*(R483-1),2)</f>
        <v>#N/A</v>
      </c>
      <c r="S484" s="43">
        <f>ROUND($B484*S$425*S483,2)</f>
        <v>0</v>
      </c>
      <c r="T484" s="43">
        <f>ROUND($B484*T$425,2)</f>
        <v>0</v>
      </c>
      <c r="U484" s="43">
        <f>ROUND($B484*U$425,2)</f>
        <v>0</v>
      </c>
      <c r="V484" s="42">
        <f>ROUND($B484*$V$422,2)</f>
        <v>0</v>
      </c>
      <c r="W484" s="43">
        <f>ROUND($B484*W$425,2)</f>
        <v>0</v>
      </c>
      <c r="X484" s="43">
        <f>ROUND($B484*X$425,2)</f>
        <v>0</v>
      </c>
      <c r="Y484" s="43">
        <f>ROUND($B484*Y$425,2)</f>
        <v>0</v>
      </c>
      <c r="Z484" s="43">
        <f>ROUND($B484*Z$425,2)</f>
        <v>0</v>
      </c>
      <c r="AA484" s="43">
        <f>ROUND($B484*AA$425,2)</f>
        <v>0</v>
      </c>
      <c r="AB484" s="19" t="e">
        <f>SUM(U$425:AA$425)+(-V$425+#REF!)</f>
        <v>#REF!</v>
      </c>
      <c r="AC484" s="115" t="str">
        <f>+F484</f>
        <v>SL1</v>
      </c>
    </row>
    <row r="485" spans="1:29" ht="13" x14ac:dyDescent="0.3">
      <c r="A485" s="9"/>
      <c r="B485" s="128">
        <v>-1</v>
      </c>
      <c r="D485" s="107"/>
      <c r="E485" s="119"/>
      <c r="F485" s="37"/>
      <c r="G485" s="120"/>
      <c r="H485" s="19"/>
      <c r="J485" s="101"/>
      <c r="K485" s="43"/>
      <c r="O485" s="43"/>
      <c r="P485" s="43"/>
      <c r="Q485" s="43"/>
      <c r="R485" s="39" t="e">
        <f>INDEX('Pwr Factor'!$A$1:$B$52,MATCH((D486),'Pwr Factor'!$A$1:$A$52,0),2)</f>
        <v>#N/A</v>
      </c>
      <c r="S485" s="51">
        <v>0.1</v>
      </c>
      <c r="T485" s="43"/>
      <c r="U485" s="43"/>
      <c r="V485" s="42"/>
      <c r="W485" s="43"/>
      <c r="X485" s="43"/>
      <c r="Y485" s="43"/>
      <c r="Z485" s="43"/>
      <c r="AA485" s="43"/>
      <c r="AB485" s="19"/>
      <c r="AC485" s="115"/>
    </row>
    <row r="486" spans="1:29" ht="13" x14ac:dyDescent="0.3">
      <c r="A486" s="57" t="s">
        <v>173</v>
      </c>
      <c r="B486" s="111">
        <f>IF(AND('AES Indiana Sep 23 Bill Calc.'!$D$17="SL",'AES Indiana Sep 23 Bill Calc.'!$D$18="Yes 10%",'AES Indiana Sep 23 Bill Calc.'!$D$20="Yes 2021"),'AES Indiana Sep 23 Bill Calc.'!$D$19,-1)</f>
        <v>-1</v>
      </c>
      <c r="C486" s="111">
        <f>MAX(E486,$C$426)</f>
        <v>50</v>
      </c>
      <c r="D486" s="111" t="b">
        <f>IF(AND('AES Indiana Sep 23 Bill Calc.'!$D$17="SL",'AES Indiana Sep 23 Bill Calc.'!$D$18="Yes 10%",'AES Indiana Sep 23 Bill Calc.'!$D$20="Yes 2021"),'AES Indiana Sep 23 Bill Calc.'!$D$22)</f>
        <v>0</v>
      </c>
      <c r="E486" s="111" t="b">
        <f>IF(AND('AES Indiana Sep 23 Bill Calc.'!$D$17="SL",'AES Indiana Sep 23 Bill Calc.'!$D$18="Yes 10%",'AES Indiana Sep 23 Bill Calc.'!$D$20="Yes 2021"),'AES Indiana Sep 23 Bill Calc.'!$D$21)</f>
        <v>0</v>
      </c>
      <c r="F486" s="37" t="s">
        <v>166</v>
      </c>
      <c r="G486" s="17" t="e">
        <f>SUM(J486:M486,O486:P486,R486:AA486)</f>
        <v>#N/A</v>
      </c>
      <c r="H486" s="19" t="e">
        <f>IF(ISBLANK(B486),0,+#REF!/B486)</f>
        <v>#REF!</v>
      </c>
      <c r="J486" s="101">
        <f>IF(ISBLANK(B486),0,+J$425)</f>
        <v>118.2</v>
      </c>
      <c r="K486" s="43">
        <f>ROUND($B486*K$425,2)</f>
        <v>-0.04</v>
      </c>
      <c r="N486" s="18">
        <f>K486</f>
        <v>-0.04</v>
      </c>
      <c r="O486" s="17">
        <f>IF($C486&gt;M$426,ROUND(M$426*M$425,2),ROUND($C486*M$425,2))</f>
        <v>1055</v>
      </c>
      <c r="P486" s="17">
        <f>IF($C486&gt;M$426,ROUND(($C486-M$426)*O$425,2),0)</f>
        <v>0</v>
      </c>
      <c r="Q486" s="43">
        <f>SUM(O486:P486)</f>
        <v>1055</v>
      </c>
      <c r="R486" s="16" t="e">
        <f>ROUND(SUM(N486:P486)*(R485-1),2)</f>
        <v>#N/A</v>
      </c>
      <c r="S486" s="43">
        <f>ROUND($B486*S$425*S485,2)</f>
        <v>0</v>
      </c>
      <c r="T486" s="43">
        <f>ROUND($B486*T$425,2)</f>
        <v>0</v>
      </c>
      <c r="U486" s="43">
        <f>ROUND($B486*U$425,2)</f>
        <v>0</v>
      </c>
      <c r="V486" s="42">
        <f>ROUND($B486*$V$422,2)</f>
        <v>0</v>
      </c>
      <c r="W486" s="43">
        <f>ROUND($B486*W$425,2)</f>
        <v>0</v>
      </c>
      <c r="X486" s="43">
        <f>ROUND($B486*X$425,2)</f>
        <v>0</v>
      </c>
      <c r="Y486" s="43">
        <f>ROUND($B486*Y$425,2)</f>
        <v>0</v>
      </c>
      <c r="Z486" s="43">
        <f>ROUND($B486*Z$425,2)</f>
        <v>0</v>
      </c>
      <c r="AA486" s="43">
        <f>ROUND($B486*AA$425,2)</f>
        <v>0</v>
      </c>
      <c r="AB486" s="19" t="e">
        <f>SUM(U$425:AA$425)+(-V$425+#REF!)</f>
        <v>#REF!</v>
      </c>
      <c r="AC486" s="115" t="str">
        <f>+F486</f>
        <v>SL1</v>
      </c>
    </row>
    <row r="487" spans="1:29" ht="13" x14ac:dyDescent="0.3">
      <c r="A487" s="9"/>
      <c r="B487" s="128">
        <v>-1</v>
      </c>
      <c r="D487" s="107"/>
      <c r="E487" s="119"/>
      <c r="F487" s="37"/>
      <c r="G487" s="120"/>
      <c r="H487" s="19"/>
      <c r="J487" s="101"/>
      <c r="K487" s="43"/>
      <c r="O487" s="43"/>
      <c r="P487" s="43"/>
      <c r="Q487" s="43"/>
      <c r="R487" s="39" t="e">
        <f>INDEX('Pwr Factor'!$A$1:$B$52,MATCH((D488),'Pwr Factor'!$A$1:$A$52,0),2)</f>
        <v>#N/A</v>
      </c>
      <c r="S487" s="51">
        <v>0</v>
      </c>
      <c r="T487" s="43"/>
      <c r="U487" s="43"/>
      <c r="V487" s="42"/>
      <c r="W487" s="43"/>
      <c r="X487" s="43"/>
      <c r="Y487" s="43"/>
      <c r="Z487" s="43"/>
      <c r="AA487" s="43"/>
      <c r="AB487" s="19"/>
      <c r="AC487" s="115"/>
    </row>
    <row r="488" spans="1:29" ht="13" x14ac:dyDescent="0.3">
      <c r="A488" s="57" t="s">
        <v>172</v>
      </c>
      <c r="B488" s="111">
        <f>IF(AND('AES Indiana Sep 23 Bill Calc.'!$D$17="SL",'AES Indiana Sep 23 Bill Calc.'!$D$18="No",'AES Indiana Sep 23 Bill Calc.'!$D$20="Yes 2021"),'AES Indiana Sep 23 Bill Calc.'!$D$19,-1)</f>
        <v>-1</v>
      </c>
      <c r="C488" s="111">
        <f>MAX(E488,$C$426)</f>
        <v>50</v>
      </c>
      <c r="D488" s="111" t="b">
        <f>IF(AND('AES Indiana Sep 23 Bill Calc.'!$D$17="SL",'AES Indiana Sep 23 Bill Calc.'!$D$18="No",'AES Indiana Sep 23 Bill Calc.'!$D$20="Yes 2021"),'AES Indiana Sep 23 Bill Calc.'!$D$22)</f>
        <v>0</v>
      </c>
      <c r="E488" s="111" t="b">
        <f>IF(AND('AES Indiana Sep 23 Bill Calc.'!$D$17="SL",'AES Indiana Sep 23 Bill Calc.'!$D$18="No",'AES Indiana Sep 23 Bill Calc.'!$D$20="Yes 2021"),'AES Indiana Sep 23 Bill Calc.'!$D$21)</f>
        <v>0</v>
      </c>
      <c r="F488" s="37" t="s">
        <v>166</v>
      </c>
      <c r="G488" s="17" t="e">
        <f>SUM(J488:M488,O488:P488,R488:AA488)</f>
        <v>#N/A</v>
      </c>
      <c r="H488" s="19" t="e">
        <f>IF(ISBLANK(B488),0,+#REF!/B488)</f>
        <v>#REF!</v>
      </c>
      <c r="J488" s="101">
        <f>IF(ISBLANK(B488),0,+J$425)</f>
        <v>118.2</v>
      </c>
      <c r="K488" s="43">
        <f>ROUND($B488*K$425,2)</f>
        <v>-0.04</v>
      </c>
      <c r="N488" s="18">
        <f>K488</f>
        <v>-0.04</v>
      </c>
      <c r="O488" s="17">
        <f>IF($C488&gt;M$426,ROUND(M$426*M$425,2),ROUND($C488*M$425,2))</f>
        <v>1055</v>
      </c>
      <c r="P488" s="17">
        <f>IF($C488&gt;M$426,ROUND(($C488-M$426)*O$425,2),0)</f>
        <v>0</v>
      </c>
      <c r="Q488" s="17">
        <f>SUM(O488:P488)</f>
        <v>1055</v>
      </c>
      <c r="R488" s="16" t="e">
        <f>ROUND(SUM(N488:P488)*(R487-1),2)</f>
        <v>#N/A</v>
      </c>
      <c r="S488" s="43">
        <f>ROUND($B488*S$425*S487,2)</f>
        <v>0</v>
      </c>
      <c r="T488" s="43">
        <f>ROUND($B488*T$425,2)</f>
        <v>0</v>
      </c>
      <c r="U488" s="43">
        <f>ROUND($B488*U$425,2)</f>
        <v>0</v>
      </c>
      <c r="V488" s="42">
        <f>ROUND($B488*$V$422,2)</f>
        <v>0</v>
      </c>
      <c r="W488" s="43">
        <f>ROUND($B488*W$425,2)</f>
        <v>0</v>
      </c>
      <c r="X488" s="43">
        <f>ROUND($B488*X$425,2)</f>
        <v>0</v>
      </c>
      <c r="Y488" s="43">
        <f>ROUND($B488*Y$425,2)</f>
        <v>0</v>
      </c>
      <c r="Z488" s="43">
        <f>ROUND($B488*Z$425,2)</f>
        <v>0</v>
      </c>
      <c r="AA488" s="43">
        <f>ROUND($B488*AA$425,2)</f>
        <v>0</v>
      </c>
      <c r="AB488" s="19" t="e">
        <f>SUM(U$425:AA$425)+(-V$425+#REF!)</f>
        <v>#REF!</v>
      </c>
      <c r="AC488" s="115" t="str">
        <f>+F488</f>
        <v>SL1</v>
      </c>
    </row>
    <row r="489" spans="1:29" ht="13" x14ac:dyDescent="0.3">
      <c r="A489" s="56"/>
      <c r="B489" s="128">
        <v>-1</v>
      </c>
      <c r="D489" s="42"/>
      <c r="E489" s="96"/>
      <c r="F489" s="37"/>
      <c r="G489" s="120"/>
      <c r="H489" s="19"/>
      <c r="J489" s="101"/>
      <c r="K489" s="43"/>
      <c r="O489" s="43"/>
      <c r="P489" s="43"/>
      <c r="Q489" s="43"/>
      <c r="R489" s="39" t="e">
        <f>INDEX('Pwr Factor'!$A$1:$B$52,MATCH((D490),'Pwr Factor'!$A$1:$A$52,0),2)</f>
        <v>#N/A</v>
      </c>
      <c r="S489" s="51">
        <v>1</v>
      </c>
      <c r="T489" s="43"/>
      <c r="U489" s="43"/>
      <c r="V489" s="42"/>
      <c r="W489" s="43"/>
      <c r="X489" s="43"/>
      <c r="Y489" s="43"/>
      <c r="Z489" s="43"/>
      <c r="AA489" s="43"/>
      <c r="AB489" s="19"/>
      <c r="AC489" s="115"/>
    </row>
    <row r="490" spans="1:29" ht="13" x14ac:dyDescent="0.3">
      <c r="A490" s="1" t="s">
        <v>73</v>
      </c>
      <c r="B490" s="111">
        <f>IF(AND('AES Indiana Sep 23 Bill Calc.'!$D$17="SL",'AES Indiana Sep 23 Bill Calc.'!$D$18="Yes 100%",'AES Indiana Sep 23 Bill Calc.'!$D$20="Yes 2022"),'AES Indiana Sep 23 Bill Calc.'!$D$19,-1)</f>
        <v>-1</v>
      </c>
      <c r="C490" s="111">
        <f>MAX(E490,$C$426)</f>
        <v>50</v>
      </c>
      <c r="D490" s="111" t="b">
        <f>IF(AND('AES Indiana Sep 23 Bill Calc.'!$D$17="SL",'AES Indiana Sep 23 Bill Calc.'!$D$18="Yes 100%",'AES Indiana Sep 23 Bill Calc.'!$D$20="Yes 2022"),'AES Indiana Sep 23 Bill Calc.'!$D$22)</f>
        <v>0</v>
      </c>
      <c r="E490" s="111" t="b">
        <f>IF(AND('AES Indiana Sep 23 Bill Calc.'!$D$17="SL",'AES Indiana Sep 23 Bill Calc.'!$D$18="Yes 100%",'AES Indiana Sep 23 Bill Calc.'!$D$20="Yes 2022"),'AES Indiana Sep 23 Bill Calc.'!$D$21)</f>
        <v>0</v>
      </c>
      <c r="F490" s="37" t="s">
        <v>184</v>
      </c>
      <c r="G490" s="17" t="e">
        <f>SUM(J490:M490,O490:P490,R490:AA490)</f>
        <v>#N/A</v>
      </c>
      <c r="H490" s="19" t="e">
        <f>IF(ISBLANK(B490),0,+#REF!/B490)</f>
        <v>#REF!</v>
      </c>
      <c r="J490" s="101">
        <f>IF(ISBLANK(B490),0,+J$425)</f>
        <v>118.2</v>
      </c>
      <c r="K490" s="43">
        <f>ROUND($B490*K$425,2)</f>
        <v>-0.04</v>
      </c>
      <c r="N490" s="18">
        <f>K490</f>
        <v>-0.04</v>
      </c>
      <c r="O490" s="17">
        <f>IF($C490&gt;M$426,ROUND(M$426*M$425,2),ROUND($C490*M$425,2))</f>
        <v>1055</v>
      </c>
      <c r="P490" s="17">
        <f>IF($C490&gt;M$426,ROUND(($C490-M$426)*O$425,2),0)</f>
        <v>0</v>
      </c>
      <c r="Q490" s="43">
        <f>SUM(O490:P490)</f>
        <v>1055</v>
      </c>
      <c r="R490" s="16" t="e">
        <f>ROUND(SUM(N490:P490)*(R489-1),2)</f>
        <v>#N/A</v>
      </c>
      <c r="S490" s="43">
        <f>ROUND($B490*S$425*S489,2)</f>
        <v>0</v>
      </c>
      <c r="T490" s="43">
        <f>ROUND($B490*T$425,2)</f>
        <v>0</v>
      </c>
      <c r="U490" s="43">
        <f>ROUND($B490*U$425,2)</f>
        <v>0</v>
      </c>
      <c r="V490" s="42">
        <f>ROUND($B490*$V$423,2)</f>
        <v>0</v>
      </c>
      <c r="W490" s="43">
        <f>ROUND($B490*W$425,2)</f>
        <v>0</v>
      </c>
      <c r="X490" s="43">
        <f>ROUND($B490*X$425,2)</f>
        <v>0</v>
      </c>
      <c r="Y490" s="43">
        <f>ROUND($B490*Y$425,2)</f>
        <v>0</v>
      </c>
      <c r="Z490" s="43">
        <f>ROUND($B490*Z$425,2)</f>
        <v>0</v>
      </c>
      <c r="AA490" s="43">
        <f>ROUND($B490*AA$425,2)</f>
        <v>0</v>
      </c>
      <c r="AB490" s="19" t="e">
        <f>SUM(U$425:AA$425)+(-V$425+#REF!)</f>
        <v>#REF!</v>
      </c>
      <c r="AC490" s="115" t="str">
        <f>+F490</f>
        <v>SL2</v>
      </c>
    </row>
    <row r="491" spans="1:29" ht="13" x14ac:dyDescent="0.3">
      <c r="A491" s="9"/>
      <c r="B491" s="128">
        <v>-1</v>
      </c>
      <c r="D491" s="42"/>
      <c r="E491" s="96"/>
      <c r="F491" s="37"/>
      <c r="G491" s="120"/>
      <c r="H491" s="19"/>
      <c r="J491" s="101"/>
      <c r="K491" s="43"/>
      <c r="O491" s="43"/>
      <c r="P491" s="43"/>
      <c r="Q491" s="43"/>
      <c r="R491" s="39" t="e">
        <f>INDEX('Pwr Factor'!$A$1:$B$52,MATCH((D492),'Pwr Factor'!$A$1:$A$52,0),2)</f>
        <v>#N/A</v>
      </c>
      <c r="S491" s="51">
        <v>0.5</v>
      </c>
      <c r="T491" s="43"/>
      <c r="U491" s="43"/>
      <c r="V491" s="42"/>
      <c r="W491" s="43"/>
      <c r="X491" s="43"/>
      <c r="Y491" s="43"/>
      <c r="Z491" s="43"/>
      <c r="AA491" s="43"/>
      <c r="AB491" s="19"/>
      <c r="AC491" s="115"/>
    </row>
    <row r="492" spans="1:29" ht="13" x14ac:dyDescent="0.3">
      <c r="A492" s="57" t="s">
        <v>171</v>
      </c>
      <c r="B492" s="111">
        <f>IF(AND('AES Indiana Sep 23 Bill Calc.'!$D$17="SL",'AES Indiana Sep 23 Bill Calc.'!$D$18="Yes 50%",'AES Indiana Sep 23 Bill Calc.'!$D$20="Yes 2022"),'AES Indiana Sep 23 Bill Calc.'!$D$19,-1)</f>
        <v>-1</v>
      </c>
      <c r="C492" s="111">
        <f>MAX(E492,$C$426)</f>
        <v>50</v>
      </c>
      <c r="D492" s="111" t="b">
        <f>IF(AND('AES Indiana Sep 23 Bill Calc.'!$D$17="SL",'AES Indiana Sep 23 Bill Calc.'!$D$18="Yes 50%",'AES Indiana Sep 23 Bill Calc.'!$D$20="Yes 2022"),'AES Indiana Sep 23 Bill Calc.'!$D$22)</f>
        <v>0</v>
      </c>
      <c r="E492" s="111" t="b">
        <f>IF(AND('AES Indiana Sep 23 Bill Calc.'!$D$17="SL",'AES Indiana Sep 23 Bill Calc.'!$D$18="Yes 50%",'AES Indiana Sep 23 Bill Calc.'!$D$20="Yes 2022"),'AES Indiana Sep 23 Bill Calc.'!$D$21)</f>
        <v>0</v>
      </c>
      <c r="F492" s="37" t="s">
        <v>184</v>
      </c>
      <c r="G492" s="17" t="e">
        <f>SUM(J492:M492,O492:P492,R492:AA492)</f>
        <v>#N/A</v>
      </c>
      <c r="H492" s="19" t="e">
        <f>IF(ISBLANK(B492),0,+#REF!/B492)</f>
        <v>#REF!</v>
      </c>
      <c r="J492" s="101">
        <f>IF(ISBLANK(B492),0,+J$425)</f>
        <v>118.2</v>
      </c>
      <c r="K492" s="43">
        <f>ROUND($B492*K$425,2)</f>
        <v>-0.04</v>
      </c>
      <c r="N492" s="18">
        <f>K492</f>
        <v>-0.04</v>
      </c>
      <c r="O492" s="17">
        <f>IF($C492&gt;M$426,ROUND(M$426*M$425,2),ROUND($C492*M$425,2))</f>
        <v>1055</v>
      </c>
      <c r="P492" s="17">
        <f>IF($C492&gt;M$426,ROUND(($C492-M$426)*O$425,2),0)</f>
        <v>0</v>
      </c>
      <c r="Q492" s="43">
        <f>SUM(O492:P492)</f>
        <v>1055</v>
      </c>
      <c r="R492" s="16" t="e">
        <f>ROUND(SUM(N492:P492)*(R491-1),2)</f>
        <v>#N/A</v>
      </c>
      <c r="S492" s="43">
        <f>ROUND($B492*S$425*S491,2)</f>
        <v>0</v>
      </c>
      <c r="T492" s="43">
        <f>ROUND($B492*T$425,2)</f>
        <v>0</v>
      </c>
      <c r="U492" s="43">
        <f>ROUND($B492*U$425,2)</f>
        <v>0</v>
      </c>
      <c r="V492" s="42">
        <f>ROUND($B492*$V$423,2)</f>
        <v>0</v>
      </c>
      <c r="W492" s="43">
        <f>ROUND($B492*W$425,2)</f>
        <v>0</v>
      </c>
      <c r="X492" s="43">
        <f>ROUND($B492*X$425,2)</f>
        <v>0</v>
      </c>
      <c r="Y492" s="43">
        <f>ROUND($B492*Y$425,2)</f>
        <v>0</v>
      </c>
      <c r="Z492" s="43">
        <f>ROUND($B492*Z$425,2)</f>
        <v>0</v>
      </c>
      <c r="AA492" s="43">
        <f>ROUND($B492*AA$425,2)</f>
        <v>0</v>
      </c>
      <c r="AB492" s="19" t="e">
        <f>SUM(U$425:AA$425)+(-V$425+#REF!)</f>
        <v>#REF!</v>
      </c>
      <c r="AC492" s="115" t="str">
        <f>+F492</f>
        <v>SL2</v>
      </c>
    </row>
    <row r="493" spans="1:29" ht="13" x14ac:dyDescent="0.3">
      <c r="A493" s="9"/>
      <c r="B493" s="128">
        <v>-1</v>
      </c>
      <c r="D493" s="42"/>
      <c r="E493" s="96"/>
      <c r="F493" s="37"/>
      <c r="G493" s="120"/>
      <c r="H493" s="19"/>
      <c r="J493" s="101"/>
      <c r="K493" s="43"/>
      <c r="O493" s="43"/>
      <c r="P493" s="43"/>
      <c r="Q493" s="43"/>
      <c r="R493" s="39" t="e">
        <f>INDEX('Pwr Factor'!$A$1:$B$52,MATCH((D494),'Pwr Factor'!$A$1:$A$52,0),2)</f>
        <v>#N/A</v>
      </c>
      <c r="S493" s="51">
        <v>0.25</v>
      </c>
      <c r="T493" s="43"/>
      <c r="U493" s="43"/>
      <c r="V493" s="42"/>
      <c r="W493" s="43"/>
      <c r="X493" s="43"/>
      <c r="Y493" s="43"/>
      <c r="Z493" s="43"/>
      <c r="AA493" s="43"/>
      <c r="AB493" s="19"/>
      <c r="AC493" s="115"/>
    </row>
    <row r="494" spans="1:29" ht="13" x14ac:dyDescent="0.3">
      <c r="A494" s="57" t="s">
        <v>158</v>
      </c>
      <c r="B494" s="111">
        <f>IF(AND('AES Indiana Sep 23 Bill Calc.'!$D$17="SL",'AES Indiana Sep 23 Bill Calc.'!$D$18="Yes 25%",'AES Indiana Sep 23 Bill Calc.'!$D$20="Yes 2022"),'AES Indiana Sep 23 Bill Calc.'!$D$19,-1)</f>
        <v>-1</v>
      </c>
      <c r="C494" s="111">
        <f>MAX(E494,$C$426)</f>
        <v>50</v>
      </c>
      <c r="D494" s="111" t="b">
        <f>IF(AND('AES Indiana Sep 23 Bill Calc.'!$D$17="SL",'AES Indiana Sep 23 Bill Calc.'!$D$18="Yes 25%",'AES Indiana Sep 23 Bill Calc.'!$D$20="Yes 2022"),'AES Indiana Sep 23 Bill Calc.'!$D$22)</f>
        <v>0</v>
      </c>
      <c r="E494" s="111" t="b">
        <f>IF(AND('AES Indiana Sep 23 Bill Calc.'!$D$17="SL",'AES Indiana Sep 23 Bill Calc.'!$D$18="Yes 25%",'AES Indiana Sep 23 Bill Calc.'!$D$20="Yes 2022"),'AES Indiana Sep 23 Bill Calc.'!$D$21)</f>
        <v>0</v>
      </c>
      <c r="F494" s="37" t="s">
        <v>184</v>
      </c>
      <c r="G494" s="17" t="e">
        <f>SUM(J494:M494,O494:P494,R494:AA494)</f>
        <v>#N/A</v>
      </c>
      <c r="H494" s="19" t="e">
        <f>IF(ISBLANK(B494),0,+#REF!/B494)</f>
        <v>#REF!</v>
      </c>
      <c r="J494" s="101">
        <f>IF(ISBLANK(B494),0,+J$425)</f>
        <v>118.2</v>
      </c>
      <c r="K494" s="43">
        <f>ROUND($B494*K$425,2)</f>
        <v>-0.04</v>
      </c>
      <c r="N494" s="18">
        <f>K494</f>
        <v>-0.04</v>
      </c>
      <c r="O494" s="17">
        <f>IF($C494&gt;M$426,ROUND(M$426*M$425,2),ROUND($C494*M$425,2))</f>
        <v>1055</v>
      </c>
      <c r="P494" s="17">
        <f>IF($C494&gt;M$426,ROUND(($C494-M$426)*O$425,2),0)</f>
        <v>0</v>
      </c>
      <c r="Q494" s="43">
        <f>SUM(O494:P494)</f>
        <v>1055</v>
      </c>
      <c r="R494" s="16" t="e">
        <f>ROUND(SUM(N494:P494)*(R493-1),2)</f>
        <v>#N/A</v>
      </c>
      <c r="S494" s="43">
        <f>ROUND($B494*S$425*S493,2)</f>
        <v>0</v>
      </c>
      <c r="T494" s="43">
        <f>ROUND($B494*T$425,2)</f>
        <v>0</v>
      </c>
      <c r="U494" s="43">
        <f>ROUND($B494*U$425,2)</f>
        <v>0</v>
      </c>
      <c r="V494" s="42">
        <f>ROUND($B494*$V$423,2)</f>
        <v>0</v>
      </c>
      <c r="W494" s="43">
        <f>ROUND($B494*W$425,2)</f>
        <v>0</v>
      </c>
      <c r="X494" s="43">
        <f>ROUND($B494*X$425,2)</f>
        <v>0</v>
      </c>
      <c r="Y494" s="43">
        <f>ROUND($B494*Y$425,2)</f>
        <v>0</v>
      </c>
      <c r="Z494" s="43">
        <f>ROUND($B494*Z$425,2)</f>
        <v>0</v>
      </c>
      <c r="AA494" s="43">
        <f>ROUND($B494*AA$425,2)</f>
        <v>0</v>
      </c>
      <c r="AB494" s="19" t="e">
        <f>SUM(U$425:AA$425)+(-V$425+#REF!)</f>
        <v>#REF!</v>
      </c>
      <c r="AC494" s="115" t="str">
        <f>+F494</f>
        <v>SL2</v>
      </c>
    </row>
    <row r="495" spans="1:29" ht="13" x14ac:dyDescent="0.3">
      <c r="A495" s="9"/>
      <c r="B495" s="128">
        <v>-1</v>
      </c>
      <c r="D495" s="42"/>
      <c r="E495" s="96"/>
      <c r="F495" s="37"/>
      <c r="G495" s="120"/>
      <c r="H495" s="19"/>
      <c r="J495" s="101"/>
      <c r="K495" s="43"/>
      <c r="O495" s="43"/>
      <c r="P495" s="43"/>
      <c r="Q495" s="43"/>
      <c r="R495" s="39" t="e">
        <f>INDEX('Pwr Factor'!$A$1:$B$52,MATCH((D496),'Pwr Factor'!$A$1:$A$52,0),2)</f>
        <v>#N/A</v>
      </c>
      <c r="S495" s="51">
        <v>0.1</v>
      </c>
      <c r="T495" s="43"/>
      <c r="U495" s="43"/>
      <c r="V495" s="42"/>
      <c r="W495" s="43"/>
      <c r="X495" s="43"/>
      <c r="Y495" s="43"/>
      <c r="Z495" s="43"/>
      <c r="AA495" s="43"/>
      <c r="AB495" s="19"/>
      <c r="AC495" s="115"/>
    </row>
    <row r="496" spans="1:29" ht="13" x14ac:dyDescent="0.3">
      <c r="A496" s="57" t="s">
        <v>173</v>
      </c>
      <c r="B496" s="111">
        <f>IF(AND('AES Indiana Sep 23 Bill Calc.'!$D$17="SL",'AES Indiana Sep 23 Bill Calc.'!$D$18="Yes 10%",'AES Indiana Sep 23 Bill Calc.'!$D$20="Yes 2022"),'AES Indiana Sep 23 Bill Calc.'!$D$19,-1)</f>
        <v>-1</v>
      </c>
      <c r="C496" s="111">
        <f>MAX(E496,$C$426)</f>
        <v>50</v>
      </c>
      <c r="D496" s="111" t="b">
        <f>IF(AND('AES Indiana Sep 23 Bill Calc.'!$D$17="SL",'AES Indiana Sep 23 Bill Calc.'!$D$18="Yes 10%",'AES Indiana Sep 23 Bill Calc.'!$D$20="Yes 2022"),'AES Indiana Sep 23 Bill Calc.'!$D$22)</f>
        <v>0</v>
      </c>
      <c r="E496" s="111" t="b">
        <f>IF(AND('AES Indiana Sep 23 Bill Calc.'!$D$17="SL",'AES Indiana Sep 23 Bill Calc.'!$D$18="Yes 10%",'AES Indiana Sep 23 Bill Calc.'!$D$20="Yes 2022"),'AES Indiana Sep 23 Bill Calc.'!$D$21)</f>
        <v>0</v>
      </c>
      <c r="F496" s="37" t="s">
        <v>184</v>
      </c>
      <c r="G496" s="17" t="e">
        <f>SUM(J496:M496,O496:P496,R496:AA496)</f>
        <v>#N/A</v>
      </c>
      <c r="H496" s="19" t="e">
        <f>IF(ISBLANK(B496),0,+#REF!/B496)</f>
        <v>#REF!</v>
      </c>
      <c r="J496" s="101">
        <f>IF(ISBLANK(B496),0,+J$425)</f>
        <v>118.2</v>
      </c>
      <c r="K496" s="43">
        <f>ROUND($B496*K$425,2)</f>
        <v>-0.04</v>
      </c>
      <c r="N496" s="18">
        <f>K496</f>
        <v>-0.04</v>
      </c>
      <c r="O496" s="17">
        <f>IF($C496&gt;M$426,ROUND(M$426*M$425,2),ROUND($C496*M$425,2))</f>
        <v>1055</v>
      </c>
      <c r="P496" s="17">
        <f>IF($C496&gt;M$426,ROUND(($C496-M$426)*O$425,2),0)</f>
        <v>0</v>
      </c>
      <c r="Q496" s="43">
        <f>SUM(O496:P496)</f>
        <v>1055</v>
      </c>
      <c r="R496" s="16" t="e">
        <f>ROUND(SUM(N496:P496)*(R495-1),2)</f>
        <v>#N/A</v>
      </c>
      <c r="S496" s="43">
        <f>ROUND($B496*S$425*S495,2)</f>
        <v>0</v>
      </c>
      <c r="T496" s="43">
        <f>ROUND($B496*T$425,2)</f>
        <v>0</v>
      </c>
      <c r="U496" s="43">
        <f>ROUND($B496*U$425,2)</f>
        <v>0</v>
      </c>
      <c r="V496" s="42">
        <f>ROUND($B496*$V$423,2)</f>
        <v>0</v>
      </c>
      <c r="W496" s="43">
        <f>ROUND($B496*W$425,2)</f>
        <v>0</v>
      </c>
      <c r="X496" s="43">
        <f>ROUND($B496*X$425,2)</f>
        <v>0</v>
      </c>
      <c r="Y496" s="43">
        <f>ROUND($B496*Y$425,2)</f>
        <v>0</v>
      </c>
      <c r="Z496" s="43">
        <f>ROUND($B496*Z$425,2)</f>
        <v>0</v>
      </c>
      <c r="AA496" s="43">
        <f>ROUND($B496*AA$425,2)</f>
        <v>0</v>
      </c>
      <c r="AB496" s="19" t="e">
        <f>SUM(U$425:AA$425)+(-V$425+#REF!)</f>
        <v>#REF!</v>
      </c>
      <c r="AC496" s="115" t="str">
        <f>+F496</f>
        <v>SL2</v>
      </c>
    </row>
    <row r="497" spans="1:29" ht="13" x14ac:dyDescent="0.3">
      <c r="A497" s="9"/>
      <c r="B497" s="128">
        <v>-1</v>
      </c>
      <c r="D497" s="42"/>
      <c r="E497" s="96"/>
      <c r="F497" s="37"/>
      <c r="G497" s="120"/>
      <c r="H497" s="19"/>
      <c r="J497" s="101"/>
      <c r="K497" s="43"/>
      <c r="O497" s="43"/>
      <c r="P497" s="43"/>
      <c r="Q497" s="43"/>
      <c r="R497" s="39" t="e">
        <f>INDEX('Pwr Factor'!$A$1:$B$52,MATCH((D498),'Pwr Factor'!$A$1:$A$52,0),2)</f>
        <v>#N/A</v>
      </c>
      <c r="S497" s="51">
        <v>0</v>
      </c>
      <c r="T497" s="43"/>
      <c r="U497" s="43"/>
      <c r="V497" s="42"/>
      <c r="W497" s="43"/>
      <c r="X497" s="43"/>
      <c r="Y497" s="43"/>
      <c r="Z497" s="43"/>
      <c r="AA497" s="43"/>
      <c r="AB497" s="19"/>
      <c r="AC497" s="115"/>
    </row>
    <row r="498" spans="1:29" ht="13" x14ac:dyDescent="0.3">
      <c r="A498" s="57" t="s">
        <v>172</v>
      </c>
      <c r="B498" s="111">
        <f>IF(AND('AES Indiana Sep 23 Bill Calc.'!$D$17="SL",'AES Indiana Sep 23 Bill Calc.'!$D$18="No",'AES Indiana Sep 23 Bill Calc.'!$D$20="Yes 2022"),'AES Indiana Sep 23 Bill Calc.'!$D$19,-1)</f>
        <v>-1</v>
      </c>
      <c r="C498" s="111">
        <f>MAX(E498,$C$426)</f>
        <v>50</v>
      </c>
      <c r="D498" s="111" t="b">
        <f>IF(AND('AES Indiana Sep 23 Bill Calc.'!$D$17="SL",'AES Indiana Sep 23 Bill Calc.'!$D$18="No",'AES Indiana Sep 23 Bill Calc.'!$D$20="Yes 2022"),'AES Indiana Sep 23 Bill Calc.'!$D$22)</f>
        <v>0</v>
      </c>
      <c r="E498" s="111" t="b">
        <f>IF(AND('AES Indiana Sep 23 Bill Calc.'!$D$17="SL",'AES Indiana Sep 23 Bill Calc.'!$D$18="No",'AES Indiana Sep 23 Bill Calc.'!$D$20="Yes 2022"),'AES Indiana Sep 23 Bill Calc.'!$D$21)</f>
        <v>0</v>
      </c>
      <c r="F498" s="37" t="s">
        <v>184</v>
      </c>
      <c r="G498" s="17" t="e">
        <f>SUM(J498:M498,O498:P498,R498:AA498)</f>
        <v>#N/A</v>
      </c>
      <c r="H498" s="19" t="e">
        <f>IF(ISBLANK(B498),0,+#REF!/B498)</f>
        <v>#REF!</v>
      </c>
      <c r="J498" s="101">
        <f>IF(ISBLANK(B498),0,+J$425)</f>
        <v>118.2</v>
      </c>
      <c r="K498" s="43">
        <f>ROUND($B498*K$425,2)</f>
        <v>-0.04</v>
      </c>
      <c r="N498" s="18">
        <f>K498</f>
        <v>-0.04</v>
      </c>
      <c r="O498" s="17">
        <f>IF($C498&gt;M$426,ROUND(M$426*M$425,2),ROUND($C498*M$425,2))</f>
        <v>1055</v>
      </c>
      <c r="P498" s="17">
        <f>IF($C498&gt;M$426,ROUND(($C498-M$426)*O$425,2),0)</f>
        <v>0</v>
      </c>
      <c r="Q498" s="43">
        <f>SUM(O498:P498)</f>
        <v>1055</v>
      </c>
      <c r="R498" s="16" t="e">
        <f>ROUND(SUM(N498:P498)*(R497-1),2)</f>
        <v>#N/A</v>
      </c>
      <c r="S498" s="43">
        <f>ROUND($B498*S$425*S497,2)</f>
        <v>0</v>
      </c>
      <c r="T498" s="43">
        <f>ROUND($B498*T$425,2)</f>
        <v>0</v>
      </c>
      <c r="U498" s="43">
        <f>ROUND($B498*U$425,2)</f>
        <v>0</v>
      </c>
      <c r="V498" s="42">
        <f>ROUND($B498*$V$423,2)</f>
        <v>0</v>
      </c>
      <c r="W498" s="43">
        <f>ROUND($B498*W$425,2)</f>
        <v>0</v>
      </c>
      <c r="X498" s="43">
        <f>ROUND($B498*X$425,2)</f>
        <v>0</v>
      </c>
      <c r="Y498" s="43">
        <f>ROUND($B498*Y$425,2)</f>
        <v>0</v>
      </c>
      <c r="Z498" s="43">
        <f>ROUND($B498*Z$425,2)</f>
        <v>0</v>
      </c>
      <c r="AA498" s="43">
        <f>ROUND($B498*AA$425,2)</f>
        <v>0</v>
      </c>
      <c r="AB498" s="19" t="e">
        <f>SUM(U$425:AA$425)+(-V$425+#REF!)</f>
        <v>#REF!</v>
      </c>
      <c r="AC498" s="115" t="str">
        <f>+F498</f>
        <v>SL2</v>
      </c>
    </row>
    <row r="499" spans="1:29" ht="13" x14ac:dyDescent="0.3">
      <c r="A499" s="57"/>
      <c r="B499" s="111">
        <v>-1</v>
      </c>
      <c r="C499" s="111"/>
      <c r="D499" s="111"/>
      <c r="E499" s="111"/>
      <c r="F499" s="37"/>
      <c r="G499" s="17"/>
      <c r="H499" s="19"/>
      <c r="J499" s="101"/>
      <c r="K499" s="43"/>
      <c r="N499" s="18"/>
      <c r="O499" s="17"/>
      <c r="P499" s="17"/>
      <c r="Q499" s="43"/>
      <c r="R499" s="39" t="e">
        <f>INDEX('Pwr Factor'!$A$1:$B$52,MATCH((D500),'Pwr Factor'!$A$1:$A$52,0),2)</f>
        <v>#N/A</v>
      </c>
      <c r="S499" s="51">
        <v>1</v>
      </c>
      <c r="T499" s="43"/>
      <c r="U499" s="43"/>
      <c r="V499" s="42"/>
      <c r="W499" s="43"/>
      <c r="X499" s="43"/>
      <c r="Y499" s="43"/>
      <c r="Z499" s="43"/>
      <c r="AA499" s="43"/>
      <c r="AB499" s="19"/>
      <c r="AC499" s="115"/>
    </row>
    <row r="500" spans="1:29" ht="13" x14ac:dyDescent="0.3">
      <c r="A500" s="1" t="s">
        <v>73</v>
      </c>
      <c r="B500" s="111">
        <f>IF(AND('AES Indiana Sep 23 Bill Calc.'!$D$17="SL",'AES Indiana Sep 23 Bill Calc.'!$D$18="Yes 100%",'AES Indiana Sep 23 Bill Calc.'!$D$20="Yes 2023"),'AES Indiana Sep 23 Bill Calc.'!$D$19,-1)</f>
        <v>-1</v>
      </c>
      <c r="C500" s="111">
        <f>MAX(E500,$C$426)</f>
        <v>50</v>
      </c>
      <c r="D500" s="111" t="b">
        <f>IF(AND('AES Indiana Sep 23 Bill Calc.'!$D$17="SL",'AES Indiana Sep 23 Bill Calc.'!$D$18="Yes 100%",'AES Indiana Sep 23 Bill Calc.'!$D$20="Yes 2022"),'AES Indiana Sep 23 Bill Calc.'!$D$22)</f>
        <v>0</v>
      </c>
      <c r="E500" s="111" t="b">
        <f>IF(AND('AES Indiana Sep 23 Bill Calc.'!$D$17="SL",'AES Indiana Sep 23 Bill Calc.'!$D$18="Yes 100%",'AES Indiana Sep 23 Bill Calc.'!$D$20="Yes 2022"),'AES Indiana Sep 23 Bill Calc.'!$D$21)</f>
        <v>0</v>
      </c>
      <c r="F500" s="37" t="s">
        <v>297</v>
      </c>
      <c r="G500" s="17" t="e">
        <f>SUM(J500:M500,O500:P500,R500:AA500)</f>
        <v>#N/A</v>
      </c>
      <c r="H500" s="19" t="e">
        <f>IF(ISBLANK(B500),0,+#REF!/B500)</f>
        <v>#REF!</v>
      </c>
      <c r="J500" s="101">
        <f>IF(ISBLANK(B500),0,+J$425)</f>
        <v>118.2</v>
      </c>
      <c r="K500" s="43">
        <f>ROUND($B500*K$425,2)</f>
        <v>-0.04</v>
      </c>
      <c r="N500" s="18">
        <f>K500</f>
        <v>-0.04</v>
      </c>
      <c r="O500" s="17">
        <f>IF($C500&gt;M$426,ROUND(M$426*M$425,2),ROUND($C500*M$425,2))</f>
        <v>1055</v>
      </c>
      <c r="P500" s="17">
        <f>IF($C500&gt;M$426,ROUND(($C500-M$426)*O$425,2),0)</f>
        <v>0</v>
      </c>
      <c r="Q500" s="43">
        <f>SUM(O500:P500)</f>
        <v>1055</v>
      </c>
      <c r="R500" s="16" t="e">
        <f>ROUND(SUM(N500:P500)*(R499-1),2)</f>
        <v>#N/A</v>
      </c>
      <c r="S500" s="43">
        <f>ROUND($B500*S$425*S499,2)</f>
        <v>0</v>
      </c>
      <c r="T500" s="43">
        <f>ROUND($B500*T$425,2)</f>
        <v>0</v>
      </c>
      <c r="U500" s="43">
        <f>ROUND($B500*U$425,2)</f>
        <v>0</v>
      </c>
      <c r="V500" s="42">
        <f>ROUND($B500*$V$424,2)</f>
        <v>0</v>
      </c>
      <c r="W500" s="43">
        <f>ROUND($B500*W$425,2)</f>
        <v>0</v>
      </c>
      <c r="X500" s="43">
        <f>ROUND($B500*X$425,2)</f>
        <v>0</v>
      </c>
      <c r="Y500" s="43">
        <f>ROUND($B500*Y$425,2)</f>
        <v>0</v>
      </c>
      <c r="Z500" s="43">
        <f>ROUND($B500*Z$425,2)</f>
        <v>0</v>
      </c>
      <c r="AA500" s="43">
        <f>ROUND($B500*AA$425,2)</f>
        <v>0</v>
      </c>
      <c r="AB500" s="19" t="e">
        <f>SUM(U$425:AA$425)+(-V$425+#REF!)</f>
        <v>#REF!</v>
      </c>
      <c r="AC500" s="115" t="str">
        <f>+F500</f>
        <v>SL3</v>
      </c>
    </row>
    <row r="501" spans="1:29" ht="13" x14ac:dyDescent="0.3">
      <c r="A501" s="9"/>
      <c r="B501" s="128">
        <v>-1</v>
      </c>
      <c r="D501" s="42"/>
      <c r="E501" s="96"/>
      <c r="F501" s="37"/>
      <c r="G501" s="120"/>
      <c r="H501" s="19"/>
      <c r="J501" s="101"/>
      <c r="K501" s="43"/>
      <c r="O501" s="43"/>
      <c r="P501" s="43"/>
      <c r="Q501" s="43"/>
      <c r="R501" s="39" t="e">
        <f>INDEX('Pwr Factor'!$A$1:$B$52,MATCH((D502),'Pwr Factor'!$A$1:$A$52,0),2)</f>
        <v>#N/A</v>
      </c>
      <c r="S501" s="51">
        <v>0.5</v>
      </c>
      <c r="T501" s="43"/>
      <c r="U501" s="43"/>
      <c r="V501" s="42"/>
      <c r="W501" s="43"/>
      <c r="X501" s="43"/>
      <c r="Y501" s="43"/>
      <c r="Z501" s="43"/>
      <c r="AA501" s="43"/>
      <c r="AB501" s="19"/>
      <c r="AC501" s="115"/>
    </row>
    <row r="502" spans="1:29" ht="13" x14ac:dyDescent="0.3">
      <c r="A502" s="57" t="s">
        <v>171</v>
      </c>
      <c r="B502" s="111">
        <f>IF(AND('AES Indiana Sep 23 Bill Calc.'!$D$17="SL",'AES Indiana Sep 23 Bill Calc.'!$D$18="Yes 50%",'AES Indiana Sep 23 Bill Calc.'!$D$20="Yes 2023"),'AES Indiana Sep 23 Bill Calc.'!$D$19,-1)</f>
        <v>-1</v>
      </c>
      <c r="C502" s="111">
        <f>MAX(E502,$C$426)</f>
        <v>50</v>
      </c>
      <c r="D502" s="111" t="b">
        <f>IF(AND('AES Indiana Sep 23 Bill Calc.'!$D$17="SL",'AES Indiana Sep 23 Bill Calc.'!$D$18="Yes 50%",'AES Indiana Sep 23 Bill Calc.'!$D$20="Yes 2022"),'AES Indiana Sep 23 Bill Calc.'!$D$22)</f>
        <v>0</v>
      </c>
      <c r="E502" s="111" t="b">
        <f>IF(AND('AES Indiana Sep 23 Bill Calc.'!$D$17="SL",'AES Indiana Sep 23 Bill Calc.'!$D$18="Yes 50%",'AES Indiana Sep 23 Bill Calc.'!$D$20="Yes 2022"),'AES Indiana Sep 23 Bill Calc.'!$D$21)</f>
        <v>0</v>
      </c>
      <c r="F502" s="37" t="s">
        <v>297</v>
      </c>
      <c r="G502" s="17" t="e">
        <f>SUM(J502:M502,O502:P502,R502:AA502)</f>
        <v>#N/A</v>
      </c>
      <c r="H502" s="19" t="e">
        <f>IF(ISBLANK(B502),0,+#REF!/B502)</f>
        <v>#REF!</v>
      </c>
      <c r="J502" s="101">
        <f>IF(ISBLANK(B502),0,+J$425)</f>
        <v>118.2</v>
      </c>
      <c r="K502" s="43">
        <f>ROUND($B502*K$425,2)</f>
        <v>-0.04</v>
      </c>
      <c r="N502" s="18">
        <f>K502</f>
        <v>-0.04</v>
      </c>
      <c r="O502" s="17">
        <f>IF($C502&gt;M$426,ROUND(M$426*M$425,2),ROUND($C502*M$425,2))</f>
        <v>1055</v>
      </c>
      <c r="P502" s="17">
        <f>IF($C502&gt;M$426,ROUND(($C502-M$426)*O$425,2),0)</f>
        <v>0</v>
      </c>
      <c r="Q502" s="43">
        <f>SUM(O502:P502)</f>
        <v>1055</v>
      </c>
      <c r="R502" s="16" t="e">
        <f>ROUND(SUM(N502:P502)*(R501-1),2)</f>
        <v>#N/A</v>
      </c>
      <c r="S502" s="43">
        <f>ROUND($B502*S$425*S501,2)</f>
        <v>0</v>
      </c>
      <c r="T502" s="43">
        <f>ROUND($B502*T$425,2)</f>
        <v>0</v>
      </c>
      <c r="U502" s="43">
        <f>ROUND($B502*U$425,2)</f>
        <v>0</v>
      </c>
      <c r="V502" s="42">
        <f>ROUND($B502*$V$424,2)</f>
        <v>0</v>
      </c>
      <c r="W502" s="43">
        <f>ROUND($B502*W$425,2)</f>
        <v>0</v>
      </c>
      <c r="X502" s="43">
        <f>ROUND($B502*X$425,2)</f>
        <v>0</v>
      </c>
      <c r="Y502" s="43">
        <f>ROUND($B502*Y$425,2)</f>
        <v>0</v>
      </c>
      <c r="Z502" s="43">
        <f>ROUND($B502*Z$425,2)</f>
        <v>0</v>
      </c>
      <c r="AA502" s="43">
        <f>ROUND($B502*AA$425,2)</f>
        <v>0</v>
      </c>
      <c r="AB502" s="19" t="e">
        <f>SUM(U$425:AA$425)+(-V$425+#REF!)</f>
        <v>#REF!</v>
      </c>
      <c r="AC502" s="115" t="str">
        <f>+F502</f>
        <v>SL3</v>
      </c>
    </row>
    <row r="503" spans="1:29" ht="13" x14ac:dyDescent="0.3">
      <c r="A503" s="9"/>
      <c r="B503" s="128">
        <v>-1</v>
      </c>
      <c r="D503" s="42"/>
      <c r="E503" s="96"/>
      <c r="F503" s="37"/>
      <c r="G503" s="120"/>
      <c r="H503" s="19"/>
      <c r="J503" s="101"/>
      <c r="K503" s="43"/>
      <c r="O503" s="43"/>
      <c r="P503" s="43"/>
      <c r="Q503" s="43"/>
      <c r="R503" s="39" t="e">
        <f>INDEX('Pwr Factor'!$A$1:$B$52,MATCH((D504),'Pwr Factor'!$A$1:$A$52,0),2)</f>
        <v>#N/A</v>
      </c>
      <c r="S503" s="51">
        <v>0.25</v>
      </c>
      <c r="T503" s="43"/>
      <c r="U503" s="43"/>
      <c r="V503" s="42"/>
      <c r="W503" s="43"/>
      <c r="X503" s="43"/>
      <c r="Y503" s="43"/>
      <c r="Z503" s="43"/>
      <c r="AA503" s="43"/>
      <c r="AB503" s="19"/>
      <c r="AC503" s="115"/>
    </row>
    <row r="504" spans="1:29" ht="13" x14ac:dyDescent="0.3">
      <c r="A504" s="57" t="s">
        <v>158</v>
      </c>
      <c r="B504" s="111">
        <f>IF(AND('AES Indiana Sep 23 Bill Calc.'!$D$17="SL",'AES Indiana Sep 23 Bill Calc.'!$D$18="Yes 25%",'AES Indiana Sep 23 Bill Calc.'!$D$20="Yes 2023"),'AES Indiana Sep 23 Bill Calc.'!$D$19,-1)</f>
        <v>-1</v>
      </c>
      <c r="C504" s="111">
        <f>MAX(E504,$C$426)</f>
        <v>50</v>
      </c>
      <c r="D504" s="111" t="b">
        <f>IF(AND('AES Indiana Sep 23 Bill Calc.'!$D$17="SL",'AES Indiana Sep 23 Bill Calc.'!$D$18="Yes 25%",'AES Indiana Sep 23 Bill Calc.'!$D$20="Yes 2022"),'AES Indiana Sep 23 Bill Calc.'!$D$22)</f>
        <v>0</v>
      </c>
      <c r="E504" s="111" t="b">
        <f>IF(AND('AES Indiana Sep 23 Bill Calc.'!$D$17="SL",'AES Indiana Sep 23 Bill Calc.'!$D$18="Yes 25%",'AES Indiana Sep 23 Bill Calc.'!$D$20="Yes 2022"),'AES Indiana Sep 23 Bill Calc.'!$D$21)</f>
        <v>0</v>
      </c>
      <c r="F504" s="37" t="s">
        <v>297</v>
      </c>
      <c r="G504" s="17" t="e">
        <f>SUM(J504:M504,O504:P504,R504:AA504)</f>
        <v>#N/A</v>
      </c>
      <c r="H504" s="19" t="e">
        <f>IF(ISBLANK(B504),0,+#REF!/B504)</f>
        <v>#REF!</v>
      </c>
      <c r="J504" s="101">
        <f>IF(ISBLANK(B504),0,+J$425)</f>
        <v>118.2</v>
      </c>
      <c r="K504" s="43">
        <f>ROUND($B504*K$425,2)</f>
        <v>-0.04</v>
      </c>
      <c r="N504" s="18">
        <f>K504</f>
        <v>-0.04</v>
      </c>
      <c r="O504" s="17">
        <f>IF($C504&gt;M$426,ROUND(M$426*M$425,2),ROUND($C504*M$425,2))</f>
        <v>1055</v>
      </c>
      <c r="P504" s="17">
        <f>IF($C504&gt;M$426,ROUND(($C504-M$426)*O$425,2),0)</f>
        <v>0</v>
      </c>
      <c r="Q504" s="43">
        <f>SUM(O504:P504)</f>
        <v>1055</v>
      </c>
      <c r="R504" s="16" t="e">
        <f>ROUND(SUM(N504:P504)*(R503-1),2)</f>
        <v>#N/A</v>
      </c>
      <c r="S504" s="43">
        <f>ROUND($B504*S$425*S503,2)</f>
        <v>0</v>
      </c>
      <c r="T504" s="43">
        <f>ROUND($B504*T$425,2)</f>
        <v>0</v>
      </c>
      <c r="U504" s="43">
        <f>ROUND($B504*U$425,2)</f>
        <v>0</v>
      </c>
      <c r="V504" s="42">
        <f>ROUND($B504*$V$424,2)</f>
        <v>0</v>
      </c>
      <c r="W504" s="43">
        <f>ROUND($B504*W$425,2)</f>
        <v>0</v>
      </c>
      <c r="X504" s="43">
        <f>ROUND($B504*X$425,2)</f>
        <v>0</v>
      </c>
      <c r="Y504" s="43">
        <f>ROUND($B504*Y$425,2)</f>
        <v>0</v>
      </c>
      <c r="Z504" s="43">
        <f>ROUND($B504*Z$425,2)</f>
        <v>0</v>
      </c>
      <c r="AA504" s="43">
        <f>ROUND($B504*AA$425,2)</f>
        <v>0</v>
      </c>
      <c r="AB504" s="19" t="e">
        <f>SUM(U$425:AA$425)+(-V$425+#REF!)</f>
        <v>#REF!</v>
      </c>
      <c r="AC504" s="115" t="str">
        <f>+F504</f>
        <v>SL3</v>
      </c>
    </row>
    <row r="505" spans="1:29" ht="13" x14ac:dyDescent="0.3">
      <c r="A505" s="9"/>
      <c r="B505" s="128">
        <v>-1</v>
      </c>
      <c r="D505" s="42"/>
      <c r="E505" s="96"/>
      <c r="F505" s="37"/>
      <c r="G505" s="120"/>
      <c r="H505" s="19"/>
      <c r="J505" s="101"/>
      <c r="K505" s="43"/>
      <c r="O505" s="43"/>
      <c r="P505" s="43"/>
      <c r="Q505" s="43"/>
      <c r="R505" s="39" t="e">
        <f>INDEX('Pwr Factor'!$A$1:$B$52,MATCH((D506),'Pwr Factor'!$A$1:$A$52,0),2)</f>
        <v>#N/A</v>
      </c>
      <c r="S505" s="51">
        <v>0.1</v>
      </c>
      <c r="T505" s="43"/>
      <c r="U505" s="43"/>
      <c r="V505" s="42"/>
      <c r="W505" s="43"/>
      <c r="X505" s="43"/>
      <c r="Y505" s="43"/>
      <c r="Z505" s="43"/>
      <c r="AA505" s="43"/>
      <c r="AB505" s="19"/>
      <c r="AC505" s="115"/>
    </row>
    <row r="506" spans="1:29" ht="13" x14ac:dyDescent="0.3">
      <c r="A506" s="57" t="s">
        <v>173</v>
      </c>
      <c r="B506" s="111">
        <f>IF(AND('AES Indiana Sep 23 Bill Calc.'!$D$17="SL",'AES Indiana Sep 23 Bill Calc.'!$D$18="Yes 10%",'AES Indiana Sep 23 Bill Calc.'!$D$20="Yes 2023"),'AES Indiana Sep 23 Bill Calc.'!$D$19,-1)</f>
        <v>-1</v>
      </c>
      <c r="C506" s="111">
        <f>MAX(E506,$C$426)</f>
        <v>50</v>
      </c>
      <c r="D506" s="111" t="b">
        <f>IF(AND('AES Indiana Sep 23 Bill Calc.'!$D$17="SL",'AES Indiana Sep 23 Bill Calc.'!$D$18="Yes 10%",'AES Indiana Sep 23 Bill Calc.'!$D$20="Yes 2022"),'AES Indiana Sep 23 Bill Calc.'!$D$22)</f>
        <v>0</v>
      </c>
      <c r="E506" s="111" t="b">
        <f>IF(AND('AES Indiana Sep 23 Bill Calc.'!$D$17="SL",'AES Indiana Sep 23 Bill Calc.'!$D$18="Yes 10%",'AES Indiana Sep 23 Bill Calc.'!$D$20="Yes 2022"),'AES Indiana Sep 23 Bill Calc.'!$D$21)</f>
        <v>0</v>
      </c>
      <c r="F506" s="37" t="s">
        <v>297</v>
      </c>
      <c r="G506" s="17" t="e">
        <f>SUM(J506:M506,O506:P506,R506:AA506)</f>
        <v>#N/A</v>
      </c>
      <c r="H506" s="19" t="e">
        <f>IF(ISBLANK(B506),0,+#REF!/B506)</f>
        <v>#REF!</v>
      </c>
      <c r="J506" s="101">
        <f>IF(ISBLANK(B506),0,+J$425)</f>
        <v>118.2</v>
      </c>
      <c r="K506" s="43">
        <f>ROUND($B506*K$425,2)</f>
        <v>-0.04</v>
      </c>
      <c r="N506" s="18">
        <f>K506</f>
        <v>-0.04</v>
      </c>
      <c r="O506" s="17">
        <f>IF($C506&gt;M$426,ROUND(M$426*M$425,2),ROUND($C506*M$425,2))</f>
        <v>1055</v>
      </c>
      <c r="P506" s="17">
        <f>IF($C506&gt;M$426,ROUND(($C506-M$426)*O$425,2),0)</f>
        <v>0</v>
      </c>
      <c r="Q506" s="43">
        <f>SUM(O506:P506)</f>
        <v>1055</v>
      </c>
      <c r="R506" s="16" t="e">
        <f>ROUND(SUM(N506:P506)*(R505-1),2)</f>
        <v>#N/A</v>
      </c>
      <c r="S506" s="43">
        <f>ROUND($B506*S$425*S505,2)</f>
        <v>0</v>
      </c>
      <c r="T506" s="43">
        <f>ROUND($B506*T$425,2)</f>
        <v>0</v>
      </c>
      <c r="U506" s="43">
        <f>ROUND($B506*U$425,2)</f>
        <v>0</v>
      </c>
      <c r="V506" s="42">
        <f>ROUND($B506*$V$424,2)</f>
        <v>0</v>
      </c>
      <c r="W506" s="43">
        <f>ROUND($B506*W$425,2)</f>
        <v>0</v>
      </c>
      <c r="X506" s="43">
        <f>ROUND($B506*X$425,2)</f>
        <v>0</v>
      </c>
      <c r="Y506" s="43">
        <f>ROUND($B506*Y$425,2)</f>
        <v>0</v>
      </c>
      <c r="Z506" s="43">
        <f>ROUND($B506*Z$425,2)</f>
        <v>0</v>
      </c>
      <c r="AA506" s="43">
        <f>ROUND($B506*AA$425,2)</f>
        <v>0</v>
      </c>
      <c r="AB506" s="19" t="e">
        <f>SUM(U$425:AA$425)+(-V$425+#REF!)</f>
        <v>#REF!</v>
      </c>
      <c r="AC506" s="115" t="str">
        <f>+F506</f>
        <v>SL3</v>
      </c>
    </row>
    <row r="507" spans="1:29" ht="13" x14ac:dyDescent="0.3">
      <c r="A507" s="9"/>
      <c r="B507" s="128">
        <v>-1</v>
      </c>
      <c r="D507" s="42"/>
      <c r="E507" s="96"/>
      <c r="F507" s="37"/>
      <c r="G507" s="120"/>
      <c r="H507" s="19"/>
      <c r="J507" s="101"/>
      <c r="K507" s="43"/>
      <c r="O507" s="43"/>
      <c r="P507" s="43"/>
      <c r="Q507" s="43"/>
      <c r="R507" s="39" t="e">
        <f>INDEX('Pwr Factor'!$A$1:$B$52,MATCH((D508),'Pwr Factor'!$A$1:$A$52,0),2)</f>
        <v>#N/A</v>
      </c>
      <c r="S507" s="51">
        <v>0</v>
      </c>
      <c r="T507" s="43"/>
      <c r="U507" s="43"/>
      <c r="V507" s="42"/>
      <c r="W507" s="43"/>
      <c r="X507" s="43"/>
      <c r="Y507" s="43"/>
      <c r="Z507" s="43"/>
      <c r="AA507" s="43"/>
      <c r="AB507" s="19"/>
      <c r="AC507" s="115"/>
    </row>
    <row r="508" spans="1:29" ht="13" x14ac:dyDescent="0.3">
      <c r="A508" s="57" t="s">
        <v>172</v>
      </c>
      <c r="B508" s="111">
        <f>IF(AND('AES Indiana Sep 23 Bill Calc.'!$D$17="SL",'AES Indiana Sep 23 Bill Calc.'!$D$18="No",'AES Indiana Sep 23 Bill Calc.'!$D$20="Yes 2023"),'AES Indiana Sep 23 Bill Calc.'!$D$19,-1)</f>
        <v>-1</v>
      </c>
      <c r="C508" s="111">
        <f>MAX(E508,$C$426)</f>
        <v>50</v>
      </c>
      <c r="D508" s="111" t="b">
        <f>IF(AND('AES Indiana Sep 23 Bill Calc.'!$D$17="SL",'AES Indiana Sep 23 Bill Calc.'!$D$18="No",'AES Indiana Sep 23 Bill Calc.'!$D$20="Yes 2022"),'AES Indiana Sep 23 Bill Calc.'!$D$22)</f>
        <v>0</v>
      </c>
      <c r="E508" s="111" t="b">
        <f>IF(AND('AES Indiana Sep 23 Bill Calc.'!$D$17="SL",'AES Indiana Sep 23 Bill Calc.'!$D$18="No",'AES Indiana Sep 23 Bill Calc.'!$D$20="Yes 2022"),'AES Indiana Sep 23 Bill Calc.'!$D$21)</f>
        <v>0</v>
      </c>
      <c r="F508" s="37" t="s">
        <v>297</v>
      </c>
      <c r="G508" s="17" t="e">
        <f>SUM(J508:M508,O508:P508,R508:AA508)</f>
        <v>#N/A</v>
      </c>
      <c r="H508" s="19" t="e">
        <f>IF(ISBLANK(B508),0,+#REF!/B508)</f>
        <v>#REF!</v>
      </c>
      <c r="J508" s="101">
        <f>IF(ISBLANK(B508),0,+J$425)</f>
        <v>118.2</v>
      </c>
      <c r="K508" s="43">
        <f>ROUND($B508*K$425,2)</f>
        <v>-0.04</v>
      </c>
      <c r="N508" s="18">
        <f>K508</f>
        <v>-0.04</v>
      </c>
      <c r="O508" s="17">
        <f>IF($C508&gt;M$426,ROUND(M$426*M$425,2),ROUND($C508*M$425,2))</f>
        <v>1055</v>
      </c>
      <c r="P508" s="17">
        <f>IF($C508&gt;M$426,ROUND(($C508-M$426)*O$425,2),0)</f>
        <v>0</v>
      </c>
      <c r="Q508" s="43">
        <f>SUM(O508:P508)</f>
        <v>1055</v>
      </c>
      <c r="R508" s="16" t="e">
        <f>ROUND(SUM(N508:P508)*(R507-1),2)</f>
        <v>#N/A</v>
      </c>
      <c r="S508" s="43">
        <f>ROUND($B508*S$425*S507,2)</f>
        <v>0</v>
      </c>
      <c r="T508" s="43">
        <f>ROUND($B508*T$425,2)</f>
        <v>0</v>
      </c>
      <c r="U508" s="43">
        <f>ROUND($B508*U$425,2)</f>
        <v>0</v>
      </c>
      <c r="V508" s="42">
        <f>ROUND($B508*$V$424,2)</f>
        <v>0</v>
      </c>
      <c r="W508" s="43">
        <f>ROUND($B508*W$425,2)</f>
        <v>0</v>
      </c>
      <c r="X508" s="43">
        <f>ROUND($B508*X$425,2)</f>
        <v>0</v>
      </c>
      <c r="Y508" s="43">
        <f>ROUND($B508*Y$425,2)</f>
        <v>0</v>
      </c>
      <c r="Z508" s="43">
        <f>ROUND($B508*Z$425,2)</f>
        <v>0</v>
      </c>
      <c r="AA508" s="43">
        <f>ROUND($B508*AA$425,2)</f>
        <v>0</v>
      </c>
      <c r="AB508" s="19" t="e">
        <f>SUM(U$425:AA$425)+(-V$425+#REF!)</f>
        <v>#REF!</v>
      </c>
      <c r="AC508" s="115" t="str">
        <f>+F508</f>
        <v>SL3</v>
      </c>
    </row>
    <row r="509" spans="1:29" ht="13" x14ac:dyDescent="0.3">
      <c r="A509" s="57"/>
      <c r="B509" s="111">
        <v>-1</v>
      </c>
      <c r="C509" s="111"/>
      <c r="D509" s="111"/>
      <c r="E509" s="111"/>
      <c r="F509" s="37"/>
      <c r="G509" s="17"/>
      <c r="H509" s="19"/>
      <c r="J509" s="101"/>
      <c r="K509" s="43"/>
      <c r="N509" s="18"/>
      <c r="O509" s="17"/>
      <c r="P509" s="17"/>
      <c r="Q509" s="43"/>
      <c r="R509" s="16"/>
      <c r="S509" s="43"/>
      <c r="T509" s="43"/>
      <c r="U509" s="43"/>
      <c r="V509" s="42"/>
      <c r="W509" s="43"/>
      <c r="X509" s="43"/>
      <c r="Y509" s="43"/>
      <c r="Z509" s="43"/>
      <c r="AA509" s="43"/>
      <c r="AB509" s="19"/>
      <c r="AC509" s="115"/>
    </row>
    <row r="510" spans="1:29" x14ac:dyDescent="0.25">
      <c r="B510" s="111">
        <v>-1</v>
      </c>
      <c r="C510" s="9"/>
      <c r="D510" s="8"/>
      <c r="S510" s="6"/>
      <c r="T510" s="6"/>
      <c r="U510" s="6"/>
      <c r="V510" s="27">
        <f>+T14</f>
        <v>0</v>
      </c>
      <c r="W510" s="6" t="s">
        <v>114</v>
      </c>
      <c r="X510" s="6"/>
      <c r="Y510" s="6"/>
      <c r="Z510" s="6"/>
      <c r="AA510" s="6"/>
      <c r="AB510" s="19" t="e">
        <f>+AB$517-V$517+#REF!</f>
        <v>#REF!</v>
      </c>
    </row>
    <row r="511" spans="1:29" x14ac:dyDescent="0.25">
      <c r="B511" s="111">
        <v>-1</v>
      </c>
      <c r="C511" s="9"/>
      <c r="D511" s="8"/>
      <c r="S511" s="6"/>
      <c r="T511" s="6"/>
      <c r="U511" s="6"/>
      <c r="V511" s="27">
        <f>T16</f>
        <v>1.18E-4</v>
      </c>
      <c r="W511" s="6" t="s">
        <v>121</v>
      </c>
      <c r="X511" s="6"/>
      <c r="Y511" s="6"/>
      <c r="Z511" s="6"/>
      <c r="AA511" s="6"/>
      <c r="AB511" s="19"/>
    </row>
    <row r="512" spans="1:29" x14ac:dyDescent="0.25">
      <c r="B512" s="111">
        <v>-1</v>
      </c>
      <c r="C512" s="9"/>
      <c r="D512" s="8"/>
      <c r="S512" s="6"/>
      <c r="T512" s="6"/>
      <c r="U512" s="6"/>
      <c r="V512" s="27">
        <f>$T$19</f>
        <v>4.8799999999999999E-4</v>
      </c>
      <c r="W512" s="6" t="s">
        <v>140</v>
      </c>
      <c r="X512" s="6"/>
      <c r="Y512" s="6"/>
      <c r="Z512" s="6"/>
      <c r="AA512" s="6"/>
      <c r="AB512" s="19"/>
    </row>
    <row r="513" spans="1:29" x14ac:dyDescent="0.25">
      <c r="B513" s="111">
        <v>-1</v>
      </c>
      <c r="C513" s="9"/>
      <c r="D513" s="8"/>
      <c r="S513" s="6"/>
      <c r="T513" s="6"/>
      <c r="U513" s="6"/>
      <c r="V513" s="27">
        <f>$T$21</f>
        <v>1.0330000000000001E-3</v>
      </c>
      <c r="W513" s="6" t="s">
        <v>93</v>
      </c>
      <c r="X513" s="6"/>
      <c r="Y513" s="6"/>
      <c r="Z513" s="6"/>
      <c r="AA513" s="6"/>
      <c r="AB513" s="19"/>
    </row>
    <row r="514" spans="1:29" x14ac:dyDescent="0.25">
      <c r="B514" s="111">
        <v>-1</v>
      </c>
      <c r="C514" s="9"/>
      <c r="D514" s="8"/>
      <c r="S514" s="6"/>
      <c r="T514" s="6"/>
      <c r="U514" s="6"/>
      <c r="V514" s="27">
        <f>$T$23</f>
        <v>1.763E-3</v>
      </c>
      <c r="W514" s="6" t="s">
        <v>164</v>
      </c>
      <c r="X514" s="6"/>
      <c r="Y514" s="6"/>
      <c r="Z514" s="6"/>
      <c r="AA514" s="6"/>
      <c r="AB514" s="19"/>
    </row>
    <row r="515" spans="1:29" x14ac:dyDescent="0.25">
      <c r="B515" s="111">
        <v>-1</v>
      </c>
      <c r="C515" s="34" t="s">
        <v>261</v>
      </c>
      <c r="D515" s="8"/>
      <c r="S515" s="6"/>
      <c r="T515" s="6"/>
      <c r="U515" s="6"/>
      <c r="V515" s="27">
        <f>$T$25</f>
        <v>0</v>
      </c>
      <c r="W515" s="6" t="s">
        <v>177</v>
      </c>
      <c r="X515" s="6"/>
      <c r="Y515" s="6"/>
      <c r="Z515" s="6"/>
      <c r="AA515" s="6"/>
      <c r="AB515" s="19"/>
    </row>
    <row r="516" spans="1:29" x14ac:dyDescent="0.25">
      <c r="B516" s="111">
        <v>-1</v>
      </c>
      <c r="C516" s="85">
        <v>500</v>
      </c>
      <c r="D516" s="8"/>
      <c r="S516" s="6"/>
      <c r="T516" s="6"/>
      <c r="U516" s="6"/>
      <c r="V516" s="19">
        <f>T27</f>
        <v>3.6970000000000002E-3</v>
      </c>
      <c r="W516" s="6" t="s">
        <v>294</v>
      </c>
      <c r="X516" s="6"/>
      <c r="Y516" s="6"/>
      <c r="Z516" s="6"/>
      <c r="AA516" s="6"/>
      <c r="AB516" s="19"/>
    </row>
    <row r="517" spans="1:29" x14ac:dyDescent="0.25">
      <c r="A517" s="1"/>
      <c r="B517" s="111">
        <v>-1</v>
      </c>
      <c r="C517" s="9"/>
      <c r="D517" s="8"/>
      <c r="F517" s="82"/>
      <c r="G517" s="82"/>
      <c r="H517" s="82"/>
      <c r="J517" s="84">
        <v>118.2</v>
      </c>
      <c r="K517" s="83">
        <v>3.5665000000000002E-2</v>
      </c>
      <c r="L517" s="84">
        <v>22.88</v>
      </c>
      <c r="M517" s="84">
        <v>22.88</v>
      </c>
      <c r="N517" s="84"/>
      <c r="O517" s="84"/>
      <c r="P517" s="84"/>
      <c r="Q517" s="84"/>
      <c r="R517" s="5"/>
      <c r="S517" s="27">
        <f>+M$5</f>
        <v>3.0000000000000001E-3</v>
      </c>
      <c r="T517" s="27">
        <f>+R$5</f>
        <v>-3.1020000000000002E-3</v>
      </c>
      <c r="U517" s="27">
        <f>+S$29</f>
        <v>1.206E-3</v>
      </c>
      <c r="V517" s="27">
        <f>+T$5</f>
        <v>6.1199999999999996E-3</v>
      </c>
      <c r="W517" s="27">
        <f>+U$5</f>
        <v>0</v>
      </c>
      <c r="X517" s="27">
        <f>+V$29</f>
        <v>5.3899999999999998E-4</v>
      </c>
      <c r="Y517" s="27">
        <f>W29</f>
        <v>1.39E-3</v>
      </c>
      <c r="Z517" s="27">
        <f>X29</f>
        <v>-9.7799999999999992E-4</v>
      </c>
      <c r="AA517" s="27">
        <f>Y29</f>
        <v>2.1900000000000001E-4</v>
      </c>
      <c r="AB517" s="19">
        <f>SUM(U517:Z517)</f>
        <v>8.2769999999999996E-3</v>
      </c>
    </row>
    <row r="518" spans="1:29" x14ac:dyDescent="0.25">
      <c r="B518" s="111">
        <v>-1</v>
      </c>
      <c r="C518" s="9"/>
      <c r="D518" s="8"/>
      <c r="F518" s="82"/>
      <c r="G518" s="82"/>
      <c r="H518" s="82"/>
      <c r="I518" s="82"/>
      <c r="J518" s="82"/>
      <c r="K518" s="82"/>
      <c r="L518" s="85">
        <v>2000</v>
      </c>
      <c r="M518" s="82"/>
      <c r="N518" s="82"/>
      <c r="O518" s="82"/>
      <c r="P518" s="82"/>
      <c r="Q518" s="82"/>
    </row>
    <row r="519" spans="1:29" x14ac:dyDescent="0.25">
      <c r="B519" s="111">
        <v>-1</v>
      </c>
      <c r="C519" s="9"/>
      <c r="D519" s="8"/>
      <c r="F519" s="12"/>
      <c r="J519" s="12" t="s">
        <v>1</v>
      </c>
      <c r="K519" s="12" t="s">
        <v>31</v>
      </c>
      <c r="L519" s="256" t="s">
        <v>32</v>
      </c>
      <c r="M519" s="256"/>
      <c r="N519" s="12"/>
      <c r="O519" s="12"/>
      <c r="P519" s="12"/>
      <c r="Q519" s="12"/>
      <c r="R519" s="12" t="s">
        <v>33</v>
      </c>
      <c r="S519" s="12">
        <v>21</v>
      </c>
      <c r="T519" s="12">
        <v>6</v>
      </c>
      <c r="U519" s="12">
        <v>3</v>
      </c>
      <c r="V519" s="12">
        <v>22</v>
      </c>
      <c r="W519" s="12">
        <v>13</v>
      </c>
      <c r="X519" s="12">
        <v>20</v>
      </c>
      <c r="Y519" s="12">
        <v>24</v>
      </c>
      <c r="Z519" s="12">
        <v>25</v>
      </c>
      <c r="AA519" s="12">
        <v>26</v>
      </c>
    </row>
    <row r="520" spans="1:29" x14ac:dyDescent="0.25">
      <c r="A520" s="13"/>
      <c r="B520" s="111">
        <v>-1</v>
      </c>
      <c r="C520" s="122" t="s">
        <v>135</v>
      </c>
      <c r="D520" s="123" t="s">
        <v>136</v>
      </c>
      <c r="E520" s="157" t="s">
        <v>260</v>
      </c>
      <c r="F520" s="13" t="s">
        <v>4</v>
      </c>
      <c r="G520" s="13" t="s">
        <v>12</v>
      </c>
      <c r="H520" s="13" t="s">
        <v>13</v>
      </c>
      <c r="I520" s="12"/>
      <c r="J520" s="13" t="s">
        <v>5</v>
      </c>
      <c r="K520" s="13" t="s">
        <v>5</v>
      </c>
      <c r="L520" s="13" t="s">
        <v>37</v>
      </c>
      <c r="M520" s="13" t="s">
        <v>38</v>
      </c>
      <c r="N520" s="73" t="s">
        <v>176</v>
      </c>
      <c r="O520" s="13"/>
      <c r="P520" s="13"/>
      <c r="Q520" s="73" t="s">
        <v>175</v>
      </c>
      <c r="R520" s="13" t="s">
        <v>35</v>
      </c>
      <c r="S520" s="13" t="s">
        <v>70</v>
      </c>
      <c r="T520" s="13" t="s">
        <v>9</v>
      </c>
      <c r="U520" s="80" t="s">
        <v>161</v>
      </c>
      <c r="V520" s="13" t="s">
        <v>79</v>
      </c>
      <c r="W520" s="13" t="s">
        <v>10</v>
      </c>
      <c r="X520" s="13" t="s">
        <v>11</v>
      </c>
      <c r="Y520" s="80" t="s">
        <v>104</v>
      </c>
      <c r="Z520" s="80" t="s">
        <v>105</v>
      </c>
      <c r="AA520" s="80" t="s">
        <v>106</v>
      </c>
      <c r="AB520" s="77" t="s">
        <v>71</v>
      </c>
    </row>
    <row r="521" spans="1:29" ht="13" x14ac:dyDescent="0.3">
      <c r="B521" s="111">
        <v>-1</v>
      </c>
      <c r="C521" s="9"/>
      <c r="D521" s="8"/>
      <c r="F521" s="37"/>
      <c r="G521" s="17"/>
      <c r="H521" s="19"/>
      <c r="I521" s="19"/>
      <c r="J521" s="8"/>
      <c r="K521" s="17"/>
      <c r="L521" s="17"/>
      <c r="M521" s="17"/>
      <c r="N521" s="17"/>
      <c r="O521" s="17"/>
      <c r="P521" s="17"/>
      <c r="Q521" s="17"/>
      <c r="R521" s="39" t="e">
        <f>VLOOKUP((D522),'Pwr Factor'!$A$1:$B$52,2)</f>
        <v>#N/A</v>
      </c>
      <c r="S521" s="51">
        <v>1</v>
      </c>
      <c r="T521" s="17"/>
      <c r="U521" s="17"/>
      <c r="V521" s="17"/>
      <c r="W521" s="17"/>
      <c r="X521" s="17"/>
      <c r="Y521" s="17"/>
      <c r="Z521" s="17"/>
      <c r="AA521" s="17"/>
    </row>
    <row r="522" spans="1:29" ht="13" x14ac:dyDescent="0.3">
      <c r="A522" s="1" t="s">
        <v>73</v>
      </c>
      <c r="B522" s="111">
        <f>IF(AND('AES Indiana Sep 23 Bill Calc.'!$D$17="PL",'AES Indiana Sep 23 Bill Calc.'!$D$18="Yes 100%",'AES Indiana Sep 23 Bill Calc.'!$D$20="No"),'AES Indiana Sep 23 Bill Calc.'!$D$19,-1)</f>
        <v>-1</v>
      </c>
      <c r="C522" s="111">
        <f>MAX(E522,$C$516)</f>
        <v>500</v>
      </c>
      <c r="D522" s="111" t="b">
        <f>IF(AND('AES Indiana Sep 23 Bill Calc.'!$D$17="PL",'AES Indiana Sep 23 Bill Calc.'!$D$18="Yes 100%",'AES Indiana Sep 23 Bill Calc.'!$D$20="No"),'AES Indiana Sep 23 Bill Calc.'!$D$22)</f>
        <v>0</v>
      </c>
      <c r="E522" s="111" t="b">
        <f>IF(AND('AES Indiana Sep 23 Bill Calc.'!$D$17="PL",'AES Indiana Sep 23 Bill Calc.'!$D$18="Yes 100%",'AES Indiana Sep 23 Bill Calc.'!$D$20="No"),'AES Indiana Sep 23 Bill Calc.'!$D$21)</f>
        <v>0</v>
      </c>
      <c r="F522" s="37" t="s">
        <v>39</v>
      </c>
      <c r="G522" s="43" t="e">
        <f>SUM(J522:M522,R522:AA522)</f>
        <v>#N/A</v>
      </c>
      <c r="H522" s="19" t="e">
        <f>IF(ISBLANK(B522),0,+#REF!/B522)</f>
        <v>#REF!</v>
      </c>
      <c r="I522" s="19"/>
      <c r="J522" s="134">
        <f>IF(ISBLANK(B522),0,+J$517)</f>
        <v>118.2</v>
      </c>
      <c r="K522" s="113">
        <f>ROUND($B522*K$517,2)</f>
        <v>-0.04</v>
      </c>
      <c r="L522" s="113">
        <f>IF($C522&gt;L$518,ROUND(L$518*L$517,2),ROUND($C522*L$517,2))</f>
        <v>11440</v>
      </c>
      <c r="M522" s="113">
        <f>IF($C522&gt;L$518,ROUND(($C522-L$518)*M$517,2),0)</f>
        <v>0</v>
      </c>
      <c r="N522" s="113">
        <f>K522</f>
        <v>-0.04</v>
      </c>
      <c r="O522" s="113"/>
      <c r="P522" s="113"/>
      <c r="Q522" s="113">
        <f>SUM(L522:M522)</f>
        <v>11440</v>
      </c>
      <c r="R522" s="135" t="e">
        <f>ROUND(SUM(K522:M522)*(R521-1),2)</f>
        <v>#N/A</v>
      </c>
      <c r="S522" s="113">
        <f>ROUND($B522*S$517*S521,2)</f>
        <v>0</v>
      </c>
      <c r="T522" s="113">
        <f t="shared" ref="T522:AA522" si="35">ROUND($B522*T$517,2)</f>
        <v>0</v>
      </c>
      <c r="U522" s="113">
        <f t="shared" si="35"/>
        <v>0</v>
      </c>
      <c r="V522" s="113">
        <f t="shared" si="35"/>
        <v>-0.01</v>
      </c>
      <c r="W522" s="113">
        <f t="shared" si="35"/>
        <v>0</v>
      </c>
      <c r="X522" s="113">
        <f t="shared" si="35"/>
        <v>0</v>
      </c>
      <c r="Y522" s="113">
        <f t="shared" si="35"/>
        <v>0</v>
      </c>
      <c r="Z522" s="113">
        <f t="shared" si="35"/>
        <v>0</v>
      </c>
      <c r="AA522" s="113">
        <f t="shared" si="35"/>
        <v>0</v>
      </c>
      <c r="AB522" s="19">
        <f>SUM(U517:AA517)</f>
        <v>8.4960000000000001E-3</v>
      </c>
      <c r="AC522" s="130" t="str">
        <f>+F522</f>
        <v>PL</v>
      </c>
    </row>
    <row r="523" spans="1:29" ht="13" x14ac:dyDescent="0.3">
      <c r="A523" s="9"/>
      <c r="B523" s="111">
        <v>-1</v>
      </c>
      <c r="C523" s="9"/>
      <c r="D523" s="8"/>
      <c r="F523" s="37"/>
      <c r="G523" s="17"/>
      <c r="H523" s="19"/>
      <c r="I523" s="19"/>
      <c r="J523" s="8"/>
      <c r="K523" s="17"/>
      <c r="L523" s="17"/>
      <c r="M523" s="17"/>
      <c r="N523" s="17"/>
      <c r="O523" s="17"/>
      <c r="P523" s="17"/>
      <c r="Q523" s="17"/>
      <c r="R523" s="39" t="e">
        <f>VLOOKUP((D524),'Pwr Factor'!$A$1:$B$52,2)</f>
        <v>#N/A</v>
      </c>
      <c r="S523" s="51">
        <v>0.5</v>
      </c>
      <c r="T523" s="17"/>
      <c r="U523" s="17"/>
      <c r="V523" s="17"/>
      <c r="W523" s="17"/>
      <c r="X523" s="17"/>
      <c r="Y523" s="17"/>
      <c r="Z523" s="17"/>
      <c r="AA523" s="17"/>
    </row>
    <row r="524" spans="1:29" ht="10" customHeight="1" x14ac:dyDescent="0.3">
      <c r="A524" s="57" t="s">
        <v>171</v>
      </c>
      <c r="B524" s="111">
        <f>IF(AND('AES Indiana Sep 23 Bill Calc.'!$D$17="PL",'AES Indiana Sep 23 Bill Calc.'!$D$18="Yes 50%",'AES Indiana Sep 23 Bill Calc.'!$D$20="No"),'AES Indiana Sep 23 Bill Calc.'!$D$19,-1)</f>
        <v>-1</v>
      </c>
      <c r="C524" s="111">
        <f>MAX(E524,$C$516)</f>
        <v>500</v>
      </c>
      <c r="D524" s="111" t="b">
        <f>IF(AND('AES Indiana Sep 23 Bill Calc.'!$D$17="PL",'AES Indiana Sep 23 Bill Calc.'!$D$18="Yes 50%",'AES Indiana Sep 23 Bill Calc.'!$D$20="No"),'AES Indiana Sep 23 Bill Calc.'!$D$22)</f>
        <v>0</v>
      </c>
      <c r="E524" s="111" t="b">
        <f>IF(AND('AES Indiana Sep 23 Bill Calc.'!$D$17="PL",'AES Indiana Sep 23 Bill Calc.'!$D$18="Yes 50%",'AES Indiana Sep 23 Bill Calc.'!$D$20="No"),'AES Indiana Sep 23 Bill Calc.'!$D$21)</f>
        <v>0</v>
      </c>
      <c r="F524" s="37" t="s">
        <v>39</v>
      </c>
      <c r="G524" s="43" t="e">
        <f>SUM(J524:M524,R524:AA524)</f>
        <v>#N/A</v>
      </c>
      <c r="H524" s="19" t="e">
        <f>IF(ISBLANK(B524),0,+#REF!/B524)</f>
        <v>#REF!</v>
      </c>
      <c r="I524" s="19"/>
      <c r="J524" s="134">
        <f>IF(ISBLANK(B524),0,+J$517)</f>
        <v>118.2</v>
      </c>
      <c r="K524" s="113">
        <f>ROUND($B524*K$517,2)</f>
        <v>-0.04</v>
      </c>
      <c r="L524" s="113">
        <f>IF($C524&gt;L$518,ROUND(L$518*L$517,2),ROUND($C524*L$517,2))</f>
        <v>11440</v>
      </c>
      <c r="M524" s="113">
        <f>IF($C524&gt;L$518,ROUND(($C524-L$518)*M$517,2),0)</f>
        <v>0</v>
      </c>
      <c r="N524" s="113">
        <f>K524</f>
        <v>-0.04</v>
      </c>
      <c r="O524" s="113"/>
      <c r="P524" s="113"/>
      <c r="Q524" s="113">
        <f>SUM(L524:M524)</f>
        <v>11440</v>
      </c>
      <c r="R524" s="135" t="e">
        <f>ROUND(SUM(K524:M524)*(R523-1),2)</f>
        <v>#N/A</v>
      </c>
      <c r="S524" s="113">
        <f>ROUND($B524*S$517*S523,2)</f>
        <v>0</v>
      </c>
      <c r="T524" s="113">
        <f t="shared" ref="T524:AA524" si="36">ROUND($B524*T$517,2)</f>
        <v>0</v>
      </c>
      <c r="U524" s="113">
        <f t="shared" si="36"/>
        <v>0</v>
      </c>
      <c r="V524" s="113">
        <f t="shared" si="36"/>
        <v>-0.01</v>
      </c>
      <c r="W524" s="113">
        <f t="shared" si="36"/>
        <v>0</v>
      </c>
      <c r="X524" s="113">
        <f t="shared" si="36"/>
        <v>0</v>
      </c>
      <c r="Y524" s="113">
        <f t="shared" si="36"/>
        <v>0</v>
      </c>
      <c r="Z524" s="113">
        <f t="shared" si="36"/>
        <v>0</v>
      </c>
      <c r="AA524" s="113">
        <f t="shared" si="36"/>
        <v>0</v>
      </c>
      <c r="AB524" s="19">
        <f>SUM(U519:AA519)</f>
        <v>133</v>
      </c>
      <c r="AC524" s="130" t="str">
        <f>+F524</f>
        <v>PL</v>
      </c>
    </row>
    <row r="525" spans="1:29" ht="13" x14ac:dyDescent="0.3">
      <c r="A525" s="9"/>
      <c r="B525" s="111">
        <v>-1</v>
      </c>
      <c r="C525" s="9"/>
      <c r="D525" s="8"/>
      <c r="F525" s="37"/>
      <c r="G525" s="17"/>
      <c r="H525" s="19"/>
      <c r="I525" s="19"/>
      <c r="J525" s="8"/>
      <c r="K525" s="17"/>
      <c r="L525" s="17"/>
      <c r="M525" s="17"/>
      <c r="N525" s="17"/>
      <c r="O525" s="17"/>
      <c r="P525" s="17"/>
      <c r="Q525" s="17"/>
      <c r="R525" s="39" t="e">
        <f>VLOOKUP((D526),'Pwr Factor'!$A$1:$B$52,2)</f>
        <v>#N/A</v>
      </c>
      <c r="S525" s="51">
        <v>0.25</v>
      </c>
      <c r="T525" s="17"/>
      <c r="U525" s="17"/>
      <c r="V525" s="17"/>
      <c r="W525" s="17"/>
      <c r="X525" s="17"/>
      <c r="Y525" s="17"/>
      <c r="Z525" s="17"/>
      <c r="AA525" s="17"/>
    </row>
    <row r="526" spans="1:29" ht="13" x14ac:dyDescent="0.3">
      <c r="A526" s="57" t="s">
        <v>158</v>
      </c>
      <c r="B526" s="111">
        <f>IF(AND('AES Indiana Sep 23 Bill Calc.'!$D$17="PL",'AES Indiana Sep 23 Bill Calc.'!$D$18="Yes 25%",'AES Indiana Sep 23 Bill Calc.'!$D$20="No"),'AES Indiana Sep 23 Bill Calc.'!$D$19,-1)</f>
        <v>-1</v>
      </c>
      <c r="C526" s="111">
        <f>MAX(E526,$C$516)</f>
        <v>500</v>
      </c>
      <c r="D526" s="111" t="b">
        <f>IF(AND('AES Indiana Sep 23 Bill Calc.'!$D$17="PL",'AES Indiana Sep 23 Bill Calc.'!$D$18="Yes 25%",'AES Indiana Sep 23 Bill Calc.'!$D$20="No"),'AES Indiana Sep 23 Bill Calc.'!$D$22)</f>
        <v>0</v>
      </c>
      <c r="E526" s="111" t="b">
        <f>IF(AND('AES Indiana Sep 23 Bill Calc.'!$D$17="PL",'AES Indiana Sep 23 Bill Calc.'!$D$18="Yes 25%",'AES Indiana Sep 23 Bill Calc.'!$D$20="No"),'AES Indiana Sep 23 Bill Calc.'!$D$21)</f>
        <v>0</v>
      </c>
      <c r="F526" s="37" t="s">
        <v>39</v>
      </c>
      <c r="G526" s="43" t="e">
        <f>SUM(J526:M526,R526:AA526)</f>
        <v>#N/A</v>
      </c>
      <c r="H526" s="19" t="e">
        <f>IF(ISBLANK(B526),0,+#REF!/B526)</f>
        <v>#REF!</v>
      </c>
      <c r="I526" s="19"/>
      <c r="J526" s="134">
        <f>IF(ISBLANK(B526),0,+J$517)</f>
        <v>118.2</v>
      </c>
      <c r="K526" s="113">
        <f>ROUND($B526*K$517,2)</f>
        <v>-0.04</v>
      </c>
      <c r="L526" s="113">
        <f>IF($C526&gt;L$518,ROUND(L$518*L$517,2),ROUND($C526*L$517,2))</f>
        <v>11440</v>
      </c>
      <c r="M526" s="113">
        <f>IF($C526&gt;L$518,ROUND(($C526-L$518)*M$517,2),0)</f>
        <v>0</v>
      </c>
      <c r="N526" s="113">
        <f>K526</f>
        <v>-0.04</v>
      </c>
      <c r="O526" s="113"/>
      <c r="P526" s="113"/>
      <c r="Q526" s="113">
        <f>SUM(L526:M526)</f>
        <v>11440</v>
      </c>
      <c r="R526" s="135" t="e">
        <f>ROUND(SUM(K526:M526)*(R525-1),2)</f>
        <v>#N/A</v>
      </c>
      <c r="S526" s="113">
        <f>ROUND($B526*S$517*S525,2)</f>
        <v>0</v>
      </c>
      <c r="T526" s="113">
        <f t="shared" ref="T526:AA526" si="37">ROUND($B526*T$517,2)</f>
        <v>0</v>
      </c>
      <c r="U526" s="113">
        <f t="shared" si="37"/>
        <v>0</v>
      </c>
      <c r="V526" s="113">
        <f t="shared" si="37"/>
        <v>-0.01</v>
      </c>
      <c r="W526" s="113">
        <f t="shared" si="37"/>
        <v>0</v>
      </c>
      <c r="X526" s="113">
        <f t="shared" si="37"/>
        <v>0</v>
      </c>
      <c r="Y526" s="113">
        <f t="shared" si="37"/>
        <v>0</v>
      </c>
      <c r="Z526" s="113">
        <f t="shared" si="37"/>
        <v>0</v>
      </c>
      <c r="AA526" s="113">
        <f t="shared" si="37"/>
        <v>0</v>
      </c>
      <c r="AB526" s="19">
        <f>SUM(U521:AA521)</f>
        <v>0</v>
      </c>
      <c r="AC526" s="130" t="str">
        <f>+F526</f>
        <v>PL</v>
      </c>
    </row>
    <row r="527" spans="1:29" ht="13" x14ac:dyDescent="0.3">
      <c r="A527" s="9"/>
      <c r="B527" s="111">
        <v>-1</v>
      </c>
      <c r="C527" s="9"/>
      <c r="D527" s="8"/>
      <c r="F527" s="37"/>
      <c r="G527" s="17"/>
      <c r="H527" s="19"/>
      <c r="I527" s="19"/>
      <c r="J527" s="8"/>
      <c r="K527" s="17"/>
      <c r="L527" s="17"/>
      <c r="M527" s="17"/>
      <c r="N527" s="17"/>
      <c r="O527" s="17"/>
      <c r="P527" s="17"/>
      <c r="Q527" s="17"/>
      <c r="R527" s="39" t="e">
        <f>VLOOKUP((D528),'Pwr Factor'!$A$1:$B$52,2)</f>
        <v>#N/A</v>
      </c>
      <c r="S527" s="51">
        <v>0.1</v>
      </c>
      <c r="T527" s="17"/>
      <c r="U527" s="17"/>
      <c r="V527" s="17"/>
      <c r="W527" s="17"/>
      <c r="X527" s="17"/>
      <c r="Y527" s="17"/>
      <c r="Z527" s="17"/>
      <c r="AA527" s="17"/>
    </row>
    <row r="528" spans="1:29" ht="13" x14ac:dyDescent="0.3">
      <c r="A528" s="57" t="s">
        <v>173</v>
      </c>
      <c r="B528" s="111">
        <f>IF(AND('AES Indiana Sep 23 Bill Calc.'!$D$17="PL",'AES Indiana Sep 23 Bill Calc.'!$D$18="Yes 10%",'AES Indiana Sep 23 Bill Calc.'!$D$20="No"),'AES Indiana Sep 23 Bill Calc.'!$D$19,-1)</f>
        <v>-1</v>
      </c>
      <c r="C528" s="111">
        <f>MAX(E528,$C$516)</f>
        <v>500</v>
      </c>
      <c r="D528" s="111" t="b">
        <f>IF(AND('AES Indiana Sep 23 Bill Calc.'!$D$17="PL",'AES Indiana Sep 23 Bill Calc.'!$D$18="Yes 10%",'AES Indiana Sep 23 Bill Calc.'!$D$20="No"),'AES Indiana Sep 23 Bill Calc.'!$D$22)</f>
        <v>0</v>
      </c>
      <c r="E528" s="111" t="b">
        <f>IF(AND('AES Indiana Sep 23 Bill Calc.'!$D$17="PL",'AES Indiana Sep 23 Bill Calc.'!$D$18="Yes 10%",'AES Indiana Sep 23 Bill Calc.'!$D$20="No"),'AES Indiana Sep 23 Bill Calc.'!$D$21)</f>
        <v>0</v>
      </c>
      <c r="F528" s="37" t="s">
        <v>39</v>
      </c>
      <c r="G528" s="43" t="e">
        <f>SUM(J528:M528,R528:AA528)</f>
        <v>#N/A</v>
      </c>
      <c r="H528" s="19" t="e">
        <f>IF(ISBLANK(B528),0,+#REF!/B528)</f>
        <v>#REF!</v>
      </c>
      <c r="I528" s="19"/>
      <c r="J528" s="134">
        <f>IF(ISBLANK(B528),0,+J$517)</f>
        <v>118.2</v>
      </c>
      <c r="K528" s="113">
        <f>ROUND($B528*K$517,2)</f>
        <v>-0.04</v>
      </c>
      <c r="L528" s="113">
        <f>IF($C528&gt;L$518,ROUND(L$518*L$517,2),ROUND($C528*L$517,2))</f>
        <v>11440</v>
      </c>
      <c r="M528" s="113">
        <f>IF($C528&gt;L$518,ROUND(($C528-L$518)*M$517,2),0)</f>
        <v>0</v>
      </c>
      <c r="N528" s="113">
        <f>K528</f>
        <v>-0.04</v>
      </c>
      <c r="O528" s="113"/>
      <c r="P528" s="113"/>
      <c r="Q528" s="113">
        <f>SUM(L528:M528)</f>
        <v>11440</v>
      </c>
      <c r="R528" s="135" t="e">
        <f>ROUND(SUM(K528:M528)*(R527-1),2)</f>
        <v>#N/A</v>
      </c>
      <c r="S528" s="113">
        <f>ROUND($B528*S$517*S527,2)</f>
        <v>0</v>
      </c>
      <c r="T528" s="113">
        <f t="shared" ref="T528:AA528" si="38">ROUND($B528*T$517,2)</f>
        <v>0</v>
      </c>
      <c r="U528" s="113">
        <f t="shared" si="38"/>
        <v>0</v>
      </c>
      <c r="V528" s="113">
        <f t="shared" si="38"/>
        <v>-0.01</v>
      </c>
      <c r="W528" s="113">
        <f t="shared" si="38"/>
        <v>0</v>
      </c>
      <c r="X528" s="113">
        <f t="shared" si="38"/>
        <v>0</v>
      </c>
      <c r="Y528" s="113">
        <f t="shared" si="38"/>
        <v>0</v>
      </c>
      <c r="Z528" s="113">
        <f t="shared" si="38"/>
        <v>0</v>
      </c>
      <c r="AA528" s="113">
        <f t="shared" si="38"/>
        <v>0</v>
      </c>
      <c r="AB528" s="19">
        <f>SUM(U523:AA523)</f>
        <v>0</v>
      </c>
      <c r="AC528" s="130" t="str">
        <f>+F528</f>
        <v>PL</v>
      </c>
    </row>
    <row r="529" spans="1:29" ht="13" x14ac:dyDescent="0.3">
      <c r="A529" s="9"/>
      <c r="B529" s="111">
        <v>-1</v>
      </c>
      <c r="C529" s="9"/>
      <c r="D529" s="8"/>
      <c r="F529" s="37"/>
      <c r="G529" s="17"/>
      <c r="H529" s="19"/>
      <c r="I529" s="19"/>
      <c r="J529" s="8"/>
      <c r="K529" s="17"/>
      <c r="L529" s="17"/>
      <c r="M529" s="17"/>
      <c r="N529" s="17"/>
      <c r="O529" s="17"/>
      <c r="P529" s="17"/>
      <c r="Q529" s="17"/>
      <c r="R529" s="39" t="e">
        <f>VLOOKUP((D530),'Pwr Factor'!$A$1:$B$52,2)</f>
        <v>#N/A</v>
      </c>
      <c r="S529" s="51">
        <v>0</v>
      </c>
      <c r="T529" s="17"/>
      <c r="U529" s="17"/>
      <c r="V529" s="17"/>
      <c r="W529" s="17"/>
      <c r="X529" s="17"/>
      <c r="Y529" s="17"/>
      <c r="Z529" s="17"/>
      <c r="AA529" s="17"/>
    </row>
    <row r="530" spans="1:29" ht="13" x14ac:dyDescent="0.3">
      <c r="A530" s="57" t="s">
        <v>172</v>
      </c>
      <c r="B530" s="111">
        <f>IF(AND('AES Indiana Sep 23 Bill Calc.'!$D$17="PL",'AES Indiana Sep 23 Bill Calc.'!$D$18="No",'AES Indiana Sep 23 Bill Calc.'!$D$20="No"),'AES Indiana Sep 23 Bill Calc.'!$D$19,-1)</f>
        <v>-1</v>
      </c>
      <c r="C530" s="111">
        <f>MAX(E530,$C$516)</f>
        <v>500</v>
      </c>
      <c r="D530" s="111" t="b">
        <f>IF(AND('AES Indiana Sep 23 Bill Calc.'!$D$17="PL",'AES Indiana Sep 23 Bill Calc.'!$D$18="No",'AES Indiana Sep 23 Bill Calc.'!$D$20="No"),'AES Indiana Sep 23 Bill Calc.'!$D$22)</f>
        <v>0</v>
      </c>
      <c r="E530" s="111" t="b">
        <f>IF(AND('AES Indiana Sep 23 Bill Calc.'!$D$17="PL",'AES Indiana Sep 23 Bill Calc.'!$D$18="No",'AES Indiana Sep 23 Bill Calc.'!$D$20="No"),'AES Indiana Sep 23 Bill Calc.'!$D$21)</f>
        <v>0</v>
      </c>
      <c r="F530" s="37" t="s">
        <v>39</v>
      </c>
      <c r="G530" s="43" t="e">
        <f>SUM(J530:M530,R530:AA530)</f>
        <v>#N/A</v>
      </c>
      <c r="H530" s="19" t="e">
        <f>IF(ISBLANK(B530),0,+#REF!/B530)</f>
        <v>#REF!</v>
      </c>
      <c r="I530" s="19"/>
      <c r="J530" s="134">
        <f>IF(ISBLANK(B530),0,+J$517)</f>
        <v>118.2</v>
      </c>
      <c r="K530" s="113">
        <f>ROUND($B530*K$517,2)</f>
        <v>-0.04</v>
      </c>
      <c r="L530" s="113">
        <f>IF($C530&gt;L$518,ROUND(L$518*L$517,2),ROUND($C530*L$517,2))</f>
        <v>11440</v>
      </c>
      <c r="M530" s="113">
        <f>IF($C530&gt;L$518,ROUND(($C530-L$518)*M$517,2),0)</f>
        <v>0</v>
      </c>
      <c r="N530" s="113">
        <f>K530</f>
        <v>-0.04</v>
      </c>
      <c r="O530" s="113"/>
      <c r="P530" s="113"/>
      <c r="Q530" s="113">
        <f>SUM(L530:M530)</f>
        <v>11440</v>
      </c>
      <c r="R530" s="135" t="e">
        <f>ROUND(SUM(K530:M530)*(R529-1),2)</f>
        <v>#N/A</v>
      </c>
      <c r="S530" s="113">
        <f>ROUND($B530*S$517*S529,2)</f>
        <v>0</v>
      </c>
      <c r="T530" s="113">
        <f t="shared" ref="T530:AA530" si="39">ROUND($B530*T$517,2)</f>
        <v>0</v>
      </c>
      <c r="U530" s="113">
        <f t="shared" si="39"/>
        <v>0</v>
      </c>
      <c r="V530" s="113">
        <f t="shared" si="39"/>
        <v>-0.01</v>
      </c>
      <c r="W530" s="113">
        <f t="shared" si="39"/>
        <v>0</v>
      </c>
      <c r="X530" s="113">
        <f t="shared" si="39"/>
        <v>0</v>
      </c>
      <c r="Y530" s="113">
        <f t="shared" si="39"/>
        <v>0</v>
      </c>
      <c r="Z530" s="113">
        <f t="shared" si="39"/>
        <v>0</v>
      </c>
      <c r="AA530" s="113">
        <f t="shared" si="39"/>
        <v>0</v>
      </c>
      <c r="AB530" s="19">
        <f>SUM(U525:AA525)</f>
        <v>0</v>
      </c>
      <c r="AC530" s="130" t="str">
        <f>+F530</f>
        <v>PL</v>
      </c>
    </row>
    <row r="531" spans="1:29" ht="13" x14ac:dyDescent="0.3">
      <c r="A531" s="9"/>
      <c r="B531" s="111">
        <v>-1</v>
      </c>
      <c r="C531" s="9"/>
      <c r="D531" s="8"/>
      <c r="F531" s="37"/>
      <c r="G531" s="17"/>
      <c r="H531" s="19"/>
      <c r="I531" s="19"/>
      <c r="J531" s="8"/>
      <c r="K531" s="17"/>
      <c r="L531" s="17"/>
      <c r="M531" s="17"/>
      <c r="N531" s="17"/>
      <c r="O531" s="17"/>
      <c r="P531" s="17"/>
      <c r="Q531" s="17"/>
      <c r="R531" s="39" t="e">
        <f>VLOOKUP((D532),'Pwr Factor'!$A$1:$B$52,2)</f>
        <v>#N/A</v>
      </c>
      <c r="S531" s="51">
        <v>1</v>
      </c>
      <c r="T531" s="17"/>
      <c r="U531" s="17"/>
      <c r="V531" s="17"/>
      <c r="W531" s="17"/>
      <c r="X531" s="17"/>
      <c r="Y531" s="17"/>
      <c r="Z531" s="17"/>
      <c r="AA531" s="17"/>
    </row>
    <row r="532" spans="1:29" ht="13" x14ac:dyDescent="0.3">
      <c r="A532" s="1" t="s">
        <v>73</v>
      </c>
      <c r="B532" s="111">
        <f>IF(AND('AES Indiana Sep 23 Bill Calc.'!$D$17="PL",'AES Indiana Sep 23 Bill Calc.'!$D$18="Yes 100%",'AES Indiana Sep 23 Bill Calc.'!$D$20="Yes Before 2018"),'AES Indiana Sep 23 Bill Calc.'!$D$19,-1)</f>
        <v>-1</v>
      </c>
      <c r="C532" s="111">
        <f>MAX(E532,$C$516)</f>
        <v>500</v>
      </c>
      <c r="D532" s="111" t="b">
        <f>IF(AND('AES Indiana Sep 23 Bill Calc.'!$D$17="PL",'AES Indiana Sep 23 Bill Calc.'!$D$18="Yes 100%",'AES Indiana Sep 23 Bill Calc.'!$D$20="Yes Before 2018"),'AES Indiana Sep 23 Bill Calc.'!$D$22)</f>
        <v>0</v>
      </c>
      <c r="E532" s="111" t="b">
        <f>IF(AND('AES Indiana Sep 23 Bill Calc.'!$D$17="PL",'AES Indiana Sep 23 Bill Calc.'!$D$18="Yes 100%",'AES Indiana Sep 23 Bill Calc.'!$D$20="Yes Before 2018"),'AES Indiana Sep 23 Bill Calc.'!$D$21)</f>
        <v>0</v>
      </c>
      <c r="F532" s="37" t="s">
        <v>113</v>
      </c>
      <c r="G532" s="43" t="e">
        <f>SUM(J532:M532,R532:AA532)</f>
        <v>#N/A</v>
      </c>
      <c r="H532" s="19" t="e">
        <f>IF(ISBLANK(B532),0,+#REF!/B532)</f>
        <v>#REF!</v>
      </c>
      <c r="I532" s="19"/>
      <c r="J532" s="134">
        <f>IF(ISBLANK(B532),0,+J$517)</f>
        <v>118.2</v>
      </c>
      <c r="K532" s="113">
        <f>ROUND($B532*K$517,2)</f>
        <v>-0.04</v>
      </c>
      <c r="L532" s="113">
        <f>IF($C532&gt;L$518,ROUND(L$518*L$517,2),ROUND($C532*L$517,2))</f>
        <v>11440</v>
      </c>
      <c r="M532" s="113">
        <f>IF($C532&gt;L$518,ROUND(($C532-L$518)*M$517,2),0)</f>
        <v>0</v>
      </c>
      <c r="N532" s="113">
        <f>K532</f>
        <v>-0.04</v>
      </c>
      <c r="O532" s="113"/>
      <c r="P532" s="113"/>
      <c r="Q532" s="113">
        <f>SUM(L532:M532)</f>
        <v>11440</v>
      </c>
      <c r="R532" s="135" t="e">
        <f>ROUND(SUM(K532:M532)*(R531-1),2)</f>
        <v>#N/A</v>
      </c>
      <c r="S532" s="113">
        <f>ROUND($B532*S$517*S531,2)</f>
        <v>0</v>
      </c>
      <c r="T532" s="113">
        <f>ROUND($B532*T$517,2)</f>
        <v>0</v>
      </c>
      <c r="U532" s="113">
        <f>ROUND($B532*U$517,2)</f>
        <v>0</v>
      </c>
      <c r="V532" s="113">
        <f>ROUND($B532*V$510,2)</f>
        <v>0</v>
      </c>
      <c r="W532" s="113">
        <f>ROUND($B532*W$517,2)</f>
        <v>0</v>
      </c>
      <c r="X532" s="113">
        <f>ROUND($B532*X$517,2)</f>
        <v>0</v>
      </c>
      <c r="Y532" s="113">
        <f>ROUND($B532*Y$517,2)</f>
        <v>0</v>
      </c>
      <c r="Z532" s="113">
        <f>ROUND($B532*Z$517,2)</f>
        <v>0</v>
      </c>
      <c r="AA532" s="113">
        <f>ROUND($B532*AA$517,2)</f>
        <v>0</v>
      </c>
      <c r="AB532" s="19">
        <f>SUM(U527:AA527)</f>
        <v>0</v>
      </c>
      <c r="AC532" s="130" t="str">
        <f>+F532</f>
        <v>PL7</v>
      </c>
    </row>
    <row r="533" spans="1:29" ht="13" x14ac:dyDescent="0.3">
      <c r="A533" s="9"/>
      <c r="B533" s="111">
        <v>-1</v>
      </c>
      <c r="C533" s="9"/>
      <c r="D533" s="8"/>
      <c r="F533" s="37"/>
      <c r="G533" s="17"/>
      <c r="H533" s="19"/>
      <c r="I533" s="19"/>
      <c r="J533" s="8"/>
      <c r="K533" s="17"/>
      <c r="L533" s="17"/>
      <c r="M533" s="17"/>
      <c r="N533" s="17"/>
      <c r="O533" s="17"/>
      <c r="P533" s="17"/>
      <c r="Q533" s="17"/>
      <c r="R533" s="39" t="e">
        <f>VLOOKUP((D534),'Pwr Factor'!$A$1:$B$52,2)</f>
        <v>#N/A</v>
      </c>
      <c r="S533" s="51">
        <v>0.5</v>
      </c>
      <c r="T533" s="17"/>
      <c r="U533" s="17"/>
      <c r="V533" s="17"/>
      <c r="W533" s="17"/>
      <c r="X533" s="17"/>
      <c r="Y533" s="17"/>
      <c r="Z533" s="17"/>
      <c r="AA533" s="17"/>
    </row>
    <row r="534" spans="1:29" ht="13" x14ac:dyDescent="0.3">
      <c r="A534" s="57" t="s">
        <v>171</v>
      </c>
      <c r="B534" s="111">
        <f>IF(AND('AES Indiana Sep 23 Bill Calc.'!$D$17="PL",'AES Indiana Sep 23 Bill Calc.'!$D$18="Yes 50%",'AES Indiana Sep 23 Bill Calc.'!$D$20="Yes Before 2018"),'AES Indiana Sep 23 Bill Calc.'!$D$19,-1)</f>
        <v>-1</v>
      </c>
      <c r="C534" s="111">
        <f>MAX(E534,$C$516)</f>
        <v>500</v>
      </c>
      <c r="D534" s="111" t="b">
        <f>IF(AND('AES Indiana Sep 23 Bill Calc.'!$D$17="PL",'AES Indiana Sep 23 Bill Calc.'!$D$18="Yes 50%",'AES Indiana Sep 23 Bill Calc.'!$D$20="Yes Before 2018"),'AES Indiana Sep 23 Bill Calc.'!$D$22)</f>
        <v>0</v>
      </c>
      <c r="E534" s="111" t="b">
        <f>IF(AND('AES Indiana Sep 23 Bill Calc.'!$D$17="PL",'AES Indiana Sep 23 Bill Calc.'!$D$18="Yes 50%",'AES Indiana Sep 23 Bill Calc.'!$D$20="Yes Before 2018"),'AES Indiana Sep 23 Bill Calc.'!$D$21)</f>
        <v>0</v>
      </c>
      <c r="F534" s="37" t="s">
        <v>113</v>
      </c>
      <c r="G534" s="43" t="e">
        <f>SUM(J534:M534,R534:AA534)</f>
        <v>#N/A</v>
      </c>
      <c r="H534" s="19" t="e">
        <f>IF(ISBLANK(B534),0,+#REF!/B534)</f>
        <v>#REF!</v>
      </c>
      <c r="I534" s="19"/>
      <c r="J534" s="134">
        <f>IF(ISBLANK(B534),0,+J$517)</f>
        <v>118.2</v>
      </c>
      <c r="K534" s="113">
        <f>ROUND($B534*K$517,2)</f>
        <v>-0.04</v>
      </c>
      <c r="L534" s="113">
        <f>IF($C534&gt;L$518,ROUND(L$518*L$517,2),ROUND($C534*L$517,2))</f>
        <v>11440</v>
      </c>
      <c r="M534" s="113">
        <f>IF($C534&gt;L$518,ROUND(($C534-L$518)*M$517,2),0)</f>
        <v>0</v>
      </c>
      <c r="N534" s="113">
        <f>K534</f>
        <v>-0.04</v>
      </c>
      <c r="O534" s="113"/>
      <c r="P534" s="113"/>
      <c r="Q534" s="113">
        <f>SUM(L534:M534)</f>
        <v>11440</v>
      </c>
      <c r="R534" s="135" t="e">
        <f>ROUND(SUM(K534:M534)*(R533-1),2)</f>
        <v>#N/A</v>
      </c>
      <c r="S534" s="113">
        <f>ROUND($B534*S$517*S533,2)</f>
        <v>0</v>
      </c>
      <c r="T534" s="113">
        <f>ROUND($B534*T$517,2)</f>
        <v>0</v>
      </c>
      <c r="U534" s="113">
        <f>ROUND($B534*U$517,2)</f>
        <v>0</v>
      </c>
      <c r="V534" s="113">
        <f>ROUND($B534*V$510,2)</f>
        <v>0</v>
      </c>
      <c r="W534" s="113">
        <f>ROUND($B534*W$517,2)</f>
        <v>0</v>
      </c>
      <c r="X534" s="113">
        <f>ROUND($B534*X$517,2)</f>
        <v>0</v>
      </c>
      <c r="Y534" s="113">
        <f>ROUND($B534*Y$517,2)</f>
        <v>0</v>
      </c>
      <c r="Z534" s="113">
        <f>ROUND($B534*Z$517,2)</f>
        <v>0</v>
      </c>
      <c r="AA534" s="113">
        <f>ROUND($B534*AA$517,2)</f>
        <v>0</v>
      </c>
      <c r="AB534" s="19">
        <f>SUM(U529:AA529)</f>
        <v>0</v>
      </c>
      <c r="AC534" s="130" t="str">
        <f>+F534</f>
        <v>PL7</v>
      </c>
    </row>
    <row r="535" spans="1:29" ht="13" x14ac:dyDescent="0.3">
      <c r="A535" s="9"/>
      <c r="B535" s="111">
        <v>-1</v>
      </c>
      <c r="C535" s="9"/>
      <c r="D535" s="8"/>
      <c r="F535" s="37"/>
      <c r="G535" s="17"/>
      <c r="H535" s="19"/>
      <c r="I535" s="19"/>
      <c r="J535" s="8"/>
      <c r="K535" s="17"/>
      <c r="L535" s="17"/>
      <c r="M535" s="17"/>
      <c r="N535" s="17"/>
      <c r="O535" s="17"/>
      <c r="P535" s="17"/>
      <c r="Q535" s="17"/>
      <c r="R535" s="39" t="e">
        <f>VLOOKUP((D536),'Pwr Factor'!$A$1:$B$52,2)</f>
        <v>#N/A</v>
      </c>
      <c r="S535" s="51">
        <v>0.25</v>
      </c>
      <c r="T535" s="17"/>
      <c r="U535" s="17"/>
      <c r="V535" s="17"/>
      <c r="W535" s="17"/>
      <c r="X535" s="17"/>
      <c r="Y535" s="17"/>
      <c r="Z535" s="17"/>
      <c r="AA535" s="17"/>
    </row>
    <row r="536" spans="1:29" ht="13" x14ac:dyDescent="0.3">
      <c r="A536" s="57" t="s">
        <v>158</v>
      </c>
      <c r="B536" s="111">
        <f>IF(AND('AES Indiana Sep 23 Bill Calc.'!$D$17="PL",'AES Indiana Sep 23 Bill Calc.'!$D$18="Yes 25%",'AES Indiana Sep 23 Bill Calc.'!$D$20="Yes Before 2018"),'AES Indiana Sep 23 Bill Calc.'!$D$19,-1)</f>
        <v>-1</v>
      </c>
      <c r="C536" s="111">
        <f>MAX(E536,$C$516)</f>
        <v>500</v>
      </c>
      <c r="D536" s="111" t="b">
        <f>IF(AND('AES Indiana Sep 23 Bill Calc.'!$D$17="PL",'AES Indiana Sep 23 Bill Calc.'!$D$18="Yes 25%",'AES Indiana Sep 23 Bill Calc.'!$D$20="Yes Before 2018"),'AES Indiana Sep 23 Bill Calc.'!$D$22)</f>
        <v>0</v>
      </c>
      <c r="E536" s="111" t="b">
        <f>IF(AND('AES Indiana Sep 23 Bill Calc.'!$D$17="PL",'AES Indiana Sep 23 Bill Calc.'!$D$18="Yes 25%",'AES Indiana Sep 23 Bill Calc.'!$D$20="Yes Before 2018"),'AES Indiana Sep 23 Bill Calc.'!$D$21)</f>
        <v>0</v>
      </c>
      <c r="F536" s="37" t="s">
        <v>113</v>
      </c>
      <c r="G536" s="43" t="e">
        <f>SUM(J536:M536,R536:AA536)</f>
        <v>#N/A</v>
      </c>
      <c r="H536" s="19" t="e">
        <f>IF(ISBLANK(B536),0,+#REF!/B536)</f>
        <v>#REF!</v>
      </c>
      <c r="I536" s="19"/>
      <c r="J536" s="134">
        <f>IF(ISBLANK(B536),0,+J$517)</f>
        <v>118.2</v>
      </c>
      <c r="K536" s="113">
        <f>ROUND($B536*K$517,2)</f>
        <v>-0.04</v>
      </c>
      <c r="L536" s="113">
        <f>IF($C536&gt;L$518,ROUND(L$518*L$517,2),ROUND($C536*L$517,2))</f>
        <v>11440</v>
      </c>
      <c r="M536" s="113">
        <f>IF($C536&gt;L$518,ROUND(($C536-L$518)*M$517,2),0)</f>
        <v>0</v>
      </c>
      <c r="N536" s="113">
        <f>K536</f>
        <v>-0.04</v>
      </c>
      <c r="O536" s="113"/>
      <c r="P536" s="113"/>
      <c r="Q536" s="113">
        <f>SUM(L536:M536)</f>
        <v>11440</v>
      </c>
      <c r="R536" s="135" t="e">
        <f>ROUND(SUM(K536:M536)*(R535-1),2)</f>
        <v>#N/A</v>
      </c>
      <c r="S536" s="113">
        <f>ROUND($B536*S$517*S535,2)</f>
        <v>0</v>
      </c>
      <c r="T536" s="113">
        <f>ROUND($B536*T$517,2)</f>
        <v>0</v>
      </c>
      <c r="U536" s="113">
        <f>ROUND($B536*U$517,2)</f>
        <v>0</v>
      </c>
      <c r="V536" s="113">
        <f>ROUND($B536*V$510,2)</f>
        <v>0</v>
      </c>
      <c r="W536" s="113">
        <f>ROUND($B536*W$517,2)</f>
        <v>0</v>
      </c>
      <c r="X536" s="113">
        <f>ROUND($B536*X$517,2)</f>
        <v>0</v>
      </c>
      <c r="Y536" s="113">
        <f>ROUND($B536*Y$517,2)</f>
        <v>0</v>
      </c>
      <c r="Z536" s="113">
        <f>ROUND($B536*Z$517,2)</f>
        <v>0</v>
      </c>
      <c r="AA536" s="113">
        <f>ROUND($B536*AA$517,2)</f>
        <v>0</v>
      </c>
      <c r="AB536" s="19">
        <f>SUM(U531:AA531)</f>
        <v>0</v>
      </c>
      <c r="AC536" s="130" t="str">
        <f>+F536</f>
        <v>PL7</v>
      </c>
    </row>
    <row r="537" spans="1:29" ht="13" x14ac:dyDescent="0.3">
      <c r="A537" s="9"/>
      <c r="B537" s="111">
        <v>-1</v>
      </c>
      <c r="D537" s="8"/>
      <c r="E537" s="9"/>
      <c r="F537" s="37"/>
      <c r="G537" s="17"/>
      <c r="H537" s="19"/>
      <c r="I537" s="19"/>
      <c r="J537" s="8"/>
      <c r="K537" s="17"/>
      <c r="L537" s="17"/>
      <c r="M537" s="17"/>
      <c r="N537" s="17"/>
      <c r="O537" s="17"/>
      <c r="P537" s="17"/>
      <c r="Q537" s="17"/>
      <c r="R537" s="39" t="e">
        <f>VLOOKUP((D538),'Pwr Factor'!$A$1:$B$52,2)</f>
        <v>#N/A</v>
      </c>
      <c r="S537" s="51">
        <v>0.1</v>
      </c>
      <c r="T537" s="17"/>
      <c r="U537" s="17"/>
      <c r="V537" s="17"/>
      <c r="W537" s="17"/>
      <c r="X537" s="17"/>
      <c r="Y537" s="17"/>
      <c r="Z537" s="17"/>
      <c r="AA537" s="17"/>
    </row>
    <row r="538" spans="1:29" ht="13" x14ac:dyDescent="0.3">
      <c r="A538" s="57" t="s">
        <v>173</v>
      </c>
      <c r="B538" s="111">
        <f>IF(AND('AES Indiana Sep 23 Bill Calc.'!$D$17="PL",'AES Indiana Sep 23 Bill Calc.'!$D$18="Yes 10%",'AES Indiana Sep 23 Bill Calc.'!$D$20="Yes Before 2018"),'AES Indiana Sep 23 Bill Calc.'!$D$19,-1)</f>
        <v>-1</v>
      </c>
      <c r="C538" s="111">
        <f>MAX(E538,$C$516)</f>
        <v>500</v>
      </c>
      <c r="D538" s="111" t="b">
        <f>IF(AND('AES Indiana Sep 23 Bill Calc.'!$D$17="PL",'AES Indiana Sep 23 Bill Calc.'!$D$18="Yes 10%",'AES Indiana Sep 23 Bill Calc.'!$D$20="Yes Before 2018"),'AES Indiana Sep 23 Bill Calc.'!$D$22)</f>
        <v>0</v>
      </c>
      <c r="E538" s="111" t="b">
        <f>IF(AND('AES Indiana Sep 23 Bill Calc.'!$D$17="PL",'AES Indiana Sep 23 Bill Calc.'!$D$18="Yes 10%",'AES Indiana Sep 23 Bill Calc.'!$D$20="Yes Before 2018"),'AES Indiana Sep 23 Bill Calc.'!$D$21)</f>
        <v>0</v>
      </c>
      <c r="F538" s="37" t="s">
        <v>113</v>
      </c>
      <c r="G538" s="43" t="e">
        <f>SUM(J538:M538,R538:AA538)</f>
        <v>#N/A</v>
      </c>
      <c r="H538" s="19" t="e">
        <f>IF(ISBLANK(B538),0,+#REF!/B538)</f>
        <v>#REF!</v>
      </c>
      <c r="I538" s="19"/>
      <c r="J538" s="134">
        <f>IF(ISBLANK(B538),0,+J$517)</f>
        <v>118.2</v>
      </c>
      <c r="K538" s="113">
        <f>ROUND($B538*K$517,2)</f>
        <v>-0.04</v>
      </c>
      <c r="L538" s="113">
        <f>IF($C538&gt;L$518,ROUND(L$518*L$517,2),ROUND($C538*L$517,2))</f>
        <v>11440</v>
      </c>
      <c r="M538" s="113">
        <f>IF($C538&gt;L$518,ROUND(($C538-L$518)*M$517,2),0)</f>
        <v>0</v>
      </c>
      <c r="N538" s="113">
        <f>K538</f>
        <v>-0.04</v>
      </c>
      <c r="O538" s="113"/>
      <c r="P538" s="113"/>
      <c r="Q538" s="113">
        <f>SUM(L538:M538)</f>
        <v>11440</v>
      </c>
      <c r="R538" s="135" t="e">
        <f>ROUND(SUM(K538:M538)*(R537-1),2)</f>
        <v>#N/A</v>
      </c>
      <c r="S538" s="113">
        <f>ROUND($B538*S$517*S537,2)</f>
        <v>0</v>
      </c>
      <c r="T538" s="113">
        <f>ROUND($B538*T$517,2)</f>
        <v>0</v>
      </c>
      <c r="U538" s="113">
        <f>ROUND($B538*U$517,2)</f>
        <v>0</v>
      </c>
      <c r="V538" s="113">
        <f>ROUND($B538*V$510,2)</f>
        <v>0</v>
      </c>
      <c r="W538" s="113">
        <f>ROUND($B538*W$517,2)</f>
        <v>0</v>
      </c>
      <c r="X538" s="113">
        <f>ROUND($B538*X$517,2)</f>
        <v>0</v>
      </c>
      <c r="Y538" s="113">
        <f>ROUND($B538*Y$517,2)</f>
        <v>0</v>
      </c>
      <c r="Z538" s="113">
        <f>ROUND($B538*Z$517,2)</f>
        <v>0</v>
      </c>
      <c r="AA538" s="113">
        <f>ROUND($B538*AA$517,2)</f>
        <v>0</v>
      </c>
      <c r="AB538" s="19">
        <f>SUM(U533:AA533)</f>
        <v>0</v>
      </c>
      <c r="AC538" s="130" t="str">
        <f>+F538</f>
        <v>PL7</v>
      </c>
    </row>
    <row r="539" spans="1:29" ht="13" x14ac:dyDescent="0.3">
      <c r="A539" s="9"/>
      <c r="B539" s="111">
        <v>-1</v>
      </c>
      <c r="D539" s="8"/>
      <c r="E539" s="9"/>
      <c r="F539" s="37"/>
      <c r="G539" s="17"/>
      <c r="H539" s="19"/>
      <c r="I539" s="19"/>
      <c r="J539" s="8"/>
      <c r="K539" s="17"/>
      <c r="L539" s="17"/>
      <c r="M539" s="17"/>
      <c r="N539" s="17"/>
      <c r="O539" s="17"/>
      <c r="P539" s="17"/>
      <c r="Q539" s="17"/>
      <c r="R539" s="39" t="e">
        <f>VLOOKUP((D540),'Pwr Factor'!$A$1:$B$52,2)</f>
        <v>#N/A</v>
      </c>
      <c r="S539" s="51">
        <v>0</v>
      </c>
      <c r="T539" s="17"/>
      <c r="U539" s="17"/>
      <c r="V539" s="17"/>
      <c r="W539" s="17"/>
      <c r="X539" s="17"/>
      <c r="Y539" s="17"/>
      <c r="Z539" s="17"/>
      <c r="AA539" s="17"/>
    </row>
    <row r="540" spans="1:29" ht="13" x14ac:dyDescent="0.3">
      <c r="A540" s="57" t="s">
        <v>172</v>
      </c>
      <c r="B540" s="111">
        <f>IF(AND('AES Indiana Sep 23 Bill Calc.'!$D$17="PL",'AES Indiana Sep 23 Bill Calc.'!$D$18="No",'AES Indiana Sep 23 Bill Calc.'!$D$20="Yes Before 2018"),'AES Indiana Sep 23 Bill Calc.'!$D$19,-1)</f>
        <v>-1</v>
      </c>
      <c r="C540" s="111">
        <f>MAX(E540,$C$516)</f>
        <v>500</v>
      </c>
      <c r="D540" s="111" t="b">
        <f>IF(AND('AES Indiana Sep 23 Bill Calc.'!$D$17="PL",'AES Indiana Sep 23 Bill Calc.'!$D$18="No",'AES Indiana Sep 23 Bill Calc.'!$D$20="Yes Before 2018"),'AES Indiana Sep 23 Bill Calc.'!$D$22)</f>
        <v>0</v>
      </c>
      <c r="E540" s="111" t="b">
        <f>IF(AND('AES Indiana Sep 23 Bill Calc.'!$D$17="PL",'AES Indiana Sep 23 Bill Calc.'!$D$18="No",'AES Indiana Sep 23 Bill Calc.'!$D$20="Yes Before 2018"),'AES Indiana Sep 23 Bill Calc.'!$D$21)</f>
        <v>0</v>
      </c>
      <c r="F540" s="37" t="s">
        <v>113</v>
      </c>
      <c r="G540" s="43" t="e">
        <f>SUM(J540:M540,R540:AA540)</f>
        <v>#N/A</v>
      </c>
      <c r="H540" s="19" t="e">
        <f>IF(ISBLANK(B540),0,+#REF!/B540)</f>
        <v>#REF!</v>
      </c>
      <c r="I540" s="19"/>
      <c r="J540" s="134">
        <f>IF(ISBLANK(B540),0,+J$517)</f>
        <v>118.2</v>
      </c>
      <c r="K540" s="113">
        <f>ROUND($B540*K$517,2)</f>
        <v>-0.04</v>
      </c>
      <c r="L540" s="113">
        <f>IF($C540&gt;L$518,ROUND(L$518*L$517,2),ROUND($C540*L$517,2))</f>
        <v>11440</v>
      </c>
      <c r="M540" s="113">
        <f>IF($C540&gt;L$518,ROUND(($C540-L$518)*M$517,2),0)</f>
        <v>0</v>
      </c>
      <c r="N540" s="113">
        <f>K540</f>
        <v>-0.04</v>
      </c>
      <c r="O540" s="113"/>
      <c r="P540" s="113"/>
      <c r="Q540" s="113">
        <f>SUM(L540:M540)</f>
        <v>11440</v>
      </c>
      <c r="R540" s="135" t="e">
        <f>ROUND(SUM(K540:M540)*(R539-1),2)</f>
        <v>#N/A</v>
      </c>
      <c r="S540" s="113">
        <f>ROUND($B540*S$517*S539,2)</f>
        <v>0</v>
      </c>
      <c r="T540" s="113">
        <f>ROUND($B540*T$517,2)</f>
        <v>0</v>
      </c>
      <c r="U540" s="113">
        <f>ROUND($B540*U$517,2)</f>
        <v>0</v>
      </c>
      <c r="V540" s="113">
        <f>ROUND($B540*V$510,2)</f>
        <v>0</v>
      </c>
      <c r="W540" s="113">
        <f>ROUND($B540*W$517,2)</f>
        <v>0</v>
      </c>
      <c r="X540" s="113">
        <f>ROUND($B540*X$517,2)</f>
        <v>0</v>
      </c>
      <c r="Y540" s="113">
        <f>ROUND($B540*Y$517,2)</f>
        <v>0</v>
      </c>
      <c r="Z540" s="113">
        <f>ROUND($B540*Z$517,2)</f>
        <v>0</v>
      </c>
      <c r="AA540" s="113">
        <f>ROUND($B540*AA$517,2)</f>
        <v>0</v>
      </c>
      <c r="AB540" s="19">
        <f>SUM(U535:AA535)</f>
        <v>0</v>
      </c>
      <c r="AC540" s="130" t="str">
        <f>+F540</f>
        <v>PL7</v>
      </c>
    </row>
    <row r="541" spans="1:29" ht="13.5" customHeight="1" x14ac:dyDescent="0.3">
      <c r="B541" s="111">
        <v>-1</v>
      </c>
      <c r="D541" s="8"/>
      <c r="E541" s="9"/>
      <c r="F541" s="37"/>
      <c r="G541" s="17"/>
      <c r="H541" s="19"/>
      <c r="I541" s="19"/>
      <c r="J541" s="53"/>
      <c r="K541" s="17"/>
      <c r="L541" s="17"/>
      <c r="M541" s="17"/>
      <c r="N541" s="17"/>
      <c r="O541" s="17"/>
      <c r="P541" s="17"/>
      <c r="Q541" s="17"/>
      <c r="R541" s="39" t="e">
        <f>VLOOKUP((D542),'Pwr Factor'!$A$1:$B$52,2)</f>
        <v>#N/A</v>
      </c>
      <c r="S541" s="51">
        <v>1</v>
      </c>
      <c r="T541" s="17"/>
      <c r="U541" s="17"/>
      <c r="V541" s="8"/>
      <c r="W541" s="17"/>
      <c r="X541" s="17"/>
      <c r="Y541" s="17"/>
      <c r="Z541" s="17"/>
      <c r="AA541" s="17"/>
      <c r="AB541" s="19"/>
      <c r="AC541" s="78"/>
    </row>
    <row r="542" spans="1:29" ht="13" x14ac:dyDescent="0.3">
      <c r="A542" s="1" t="s">
        <v>73</v>
      </c>
      <c r="B542" s="111">
        <f>IF(AND('AES Indiana Sep 23 Bill Calc.'!$D$17="PL",'AES Indiana Sep 23 Bill Calc.'!$D$18="Yes 100%",'AES Indiana Sep 23 Bill Calc.'!$D$20="Yes 2018"),'AES Indiana Sep 23 Bill Calc.'!$D$19,-1)</f>
        <v>-1</v>
      </c>
      <c r="C542" s="111">
        <f>MAX(E542,$C$516)</f>
        <v>500</v>
      </c>
      <c r="D542" s="111" t="b">
        <f>IF(AND('AES Indiana Sep 23 Bill Calc.'!$D$17="PL",'AES Indiana Sep 23 Bill Calc.'!$D$18="Yes 100%",'AES Indiana Sep 23 Bill Calc.'!$D$20="Yes 2018"),'AES Indiana Sep 23 Bill Calc.'!$D$22)</f>
        <v>0</v>
      </c>
      <c r="E542" s="111" t="b">
        <f>IF(AND('AES Indiana Sep 23 Bill Calc.'!$D$17="PL",'AES Indiana Sep 23 Bill Calc.'!$D$18="Yes 100%",'AES Indiana Sep 23 Bill Calc.'!$D$20="Yes 2018"),'AES Indiana Sep 23 Bill Calc.'!$D$21)</f>
        <v>0</v>
      </c>
      <c r="F542" s="37" t="s">
        <v>126</v>
      </c>
      <c r="G542" s="43" t="e">
        <f>SUM(J542:M542,R542:AA542)</f>
        <v>#N/A</v>
      </c>
      <c r="H542" s="19" t="e">
        <f>IF(ISBLANK(B542),0,+#REF!/B542)</f>
        <v>#REF!</v>
      </c>
      <c r="I542" s="19"/>
      <c r="J542" s="108">
        <f>IF(ISBLANK(B542),0,+J$517)</f>
        <v>118.2</v>
      </c>
      <c r="K542" s="43">
        <f>ROUND($B542*K$517,2)</f>
        <v>-0.04</v>
      </c>
      <c r="L542" s="113">
        <f>IF($C542&gt;L$518,ROUND(L$518*L$517,2),ROUND($C542*L$517,2))</f>
        <v>11440</v>
      </c>
      <c r="M542" s="113">
        <f>IF($C542&gt;L$518,ROUND(($C542-L$518)*M$517,2),0)</f>
        <v>0</v>
      </c>
      <c r="N542" s="113">
        <f>K542</f>
        <v>-0.04</v>
      </c>
      <c r="O542" s="43"/>
      <c r="P542" s="43"/>
      <c r="Q542" s="113">
        <f>SUM(L542:M542)</f>
        <v>11440</v>
      </c>
      <c r="R542" s="101" t="e">
        <f>ROUND(SUM(K542:M542)*(R541-1),2)</f>
        <v>#N/A</v>
      </c>
      <c r="S542" s="43">
        <f>ROUND($B542*S$517*S541,2)</f>
        <v>0</v>
      </c>
      <c r="T542" s="43">
        <f>ROUND($B542*T$517,2)</f>
        <v>0</v>
      </c>
      <c r="U542" s="43">
        <f>ROUND($B542*U$517,2)</f>
        <v>0</v>
      </c>
      <c r="V542" s="42">
        <f>ROUND($B542*V$511,2)</f>
        <v>0</v>
      </c>
      <c r="W542" s="43">
        <f>ROUND($B542*W$517,2)</f>
        <v>0</v>
      </c>
      <c r="X542" s="43">
        <f>ROUND($B542*X$517,2)</f>
        <v>0</v>
      </c>
      <c r="Y542" s="43">
        <f>ROUND($B542*Y$517,2)</f>
        <v>0</v>
      </c>
      <c r="Z542" s="43">
        <f>ROUND($B542*Z$517,2)</f>
        <v>0</v>
      </c>
      <c r="AA542" s="43">
        <f>ROUND($B542*AA$517,2)</f>
        <v>0</v>
      </c>
      <c r="AB542" s="19">
        <f>SUM(U$517:AA$517)+(-V$517+V511)</f>
        <v>2.4940000000000006E-3</v>
      </c>
      <c r="AC542" s="115" t="str">
        <f>+F542</f>
        <v>PL8</v>
      </c>
    </row>
    <row r="543" spans="1:29" ht="13" x14ac:dyDescent="0.3">
      <c r="A543" s="9"/>
      <c r="B543" s="111">
        <v>-1</v>
      </c>
      <c r="D543" s="8"/>
      <c r="E543" s="9"/>
      <c r="F543" s="37"/>
      <c r="G543" s="17"/>
      <c r="H543" s="19"/>
      <c r="I543" s="19"/>
      <c r="J543" s="53"/>
      <c r="K543" s="17"/>
      <c r="L543" s="17"/>
      <c r="M543" s="17"/>
      <c r="N543" s="17"/>
      <c r="O543" s="17"/>
      <c r="P543" s="17"/>
      <c r="Q543" s="17"/>
      <c r="R543" s="39" t="e">
        <f>VLOOKUP((D544),'Pwr Factor'!$A$1:$B$52,2)</f>
        <v>#N/A</v>
      </c>
      <c r="S543" s="51">
        <v>0.5</v>
      </c>
      <c r="T543" s="17"/>
      <c r="U543" s="17"/>
      <c r="V543" s="8"/>
      <c r="W543" s="17"/>
      <c r="X543" s="17"/>
      <c r="Y543" s="17"/>
      <c r="Z543" s="17"/>
      <c r="AA543" s="17"/>
      <c r="AB543" s="19"/>
      <c r="AC543" s="78"/>
    </row>
    <row r="544" spans="1:29" ht="13" x14ac:dyDescent="0.3">
      <c r="A544" s="57" t="s">
        <v>171</v>
      </c>
      <c r="B544" s="111">
        <f>IF(AND('AES Indiana Sep 23 Bill Calc.'!$D$17="PL",'AES Indiana Sep 23 Bill Calc.'!$D$18="Yes 50%",'AES Indiana Sep 23 Bill Calc.'!$D$20="Yes 2018"),'AES Indiana Sep 23 Bill Calc.'!$D$19,-1)</f>
        <v>-1</v>
      </c>
      <c r="C544" s="111">
        <f>MAX(E544,$C$516)</f>
        <v>500</v>
      </c>
      <c r="D544" s="111" t="b">
        <f>IF(AND('AES Indiana Sep 23 Bill Calc.'!$D$17="PL",'AES Indiana Sep 23 Bill Calc.'!$D$18="Yes 50%",'AES Indiana Sep 23 Bill Calc.'!$D$20="Yes 2018"),'AES Indiana Sep 23 Bill Calc.'!$D$22)</f>
        <v>0</v>
      </c>
      <c r="E544" s="111" t="b">
        <f>IF(AND('AES Indiana Sep 23 Bill Calc.'!$D$17="PL",'AES Indiana Sep 23 Bill Calc.'!$D$18="Yes 50%",'AES Indiana Sep 23 Bill Calc.'!$D$20="Yes 2018"),'AES Indiana Sep 23 Bill Calc.'!$D$21)</f>
        <v>0</v>
      </c>
      <c r="F544" s="37" t="s">
        <v>126</v>
      </c>
      <c r="G544" s="43" t="e">
        <f>SUM(J544:M544,R544:AA544)</f>
        <v>#N/A</v>
      </c>
      <c r="H544" s="19" t="e">
        <f>IF(ISBLANK(B544),0,+#REF!/B544)</f>
        <v>#REF!</v>
      </c>
      <c r="I544" s="19"/>
      <c r="J544" s="108">
        <f>IF(ISBLANK(B544),0,+J$517)</f>
        <v>118.2</v>
      </c>
      <c r="K544" s="43">
        <f>ROUND($B544*K$517,2)</f>
        <v>-0.04</v>
      </c>
      <c r="L544" s="113">
        <f>IF($C544&gt;L$518,ROUND(L$518*L$517,2),ROUND($C544*L$517,2))</f>
        <v>11440</v>
      </c>
      <c r="M544" s="113">
        <f>IF($C544&gt;L$518,ROUND(($C544-L$518)*M$517,2),0)</f>
        <v>0</v>
      </c>
      <c r="N544" s="113">
        <f>K544</f>
        <v>-0.04</v>
      </c>
      <c r="O544" s="43"/>
      <c r="P544" s="43"/>
      <c r="Q544" s="113">
        <f>SUM(L544:M544)</f>
        <v>11440</v>
      </c>
      <c r="R544" s="101" t="e">
        <f>ROUND(SUM(K544:M544)*(R543-1),2)</f>
        <v>#N/A</v>
      </c>
      <c r="S544" s="43">
        <f>ROUND($B544*S$517*S543,2)</f>
        <v>0</v>
      </c>
      <c r="T544" s="43">
        <f>ROUND($B544*T$517,2)</f>
        <v>0</v>
      </c>
      <c r="U544" s="43">
        <f>ROUND($B544*U$517,2)</f>
        <v>0</v>
      </c>
      <c r="V544" s="42">
        <f>ROUND($B544*V$511,2)</f>
        <v>0</v>
      </c>
      <c r="W544" s="43">
        <f>ROUND($B544*W$517,2)</f>
        <v>0</v>
      </c>
      <c r="X544" s="43">
        <f>ROUND($B544*X$517,2)</f>
        <v>0</v>
      </c>
      <c r="Y544" s="43">
        <f>ROUND($B544*Y$517,2)</f>
        <v>0</v>
      </c>
      <c r="Z544" s="43">
        <f>ROUND($B544*Z$517,2)</f>
        <v>0</v>
      </c>
      <c r="AA544" s="43">
        <f>ROUND($B544*AA$517,2)</f>
        <v>0</v>
      </c>
      <c r="AB544" s="19">
        <f>SUM(U$517:AA$517)+(-V$517+V513)</f>
        <v>3.4090000000000006E-3</v>
      </c>
      <c r="AC544" s="115" t="str">
        <f>+F544</f>
        <v>PL8</v>
      </c>
    </row>
    <row r="545" spans="1:29" ht="13" x14ac:dyDescent="0.3">
      <c r="A545" s="9"/>
      <c r="B545" s="111">
        <v>-1</v>
      </c>
      <c r="D545" s="8"/>
      <c r="E545" s="9"/>
      <c r="F545" s="37"/>
      <c r="G545" s="17"/>
      <c r="H545" s="19"/>
      <c r="I545" s="19"/>
      <c r="J545" s="53"/>
      <c r="K545" s="17"/>
      <c r="L545" s="17"/>
      <c r="M545" s="17"/>
      <c r="N545" s="17"/>
      <c r="O545" s="17"/>
      <c r="P545" s="17"/>
      <c r="Q545" s="17"/>
      <c r="R545" s="39" t="e">
        <f>VLOOKUP((D546),'Pwr Factor'!$A$1:$B$52,2)</f>
        <v>#N/A</v>
      </c>
      <c r="S545" s="51">
        <v>0.25</v>
      </c>
      <c r="T545" s="17"/>
      <c r="U545" s="17"/>
      <c r="V545" s="8"/>
      <c r="W545" s="17"/>
      <c r="X545" s="17"/>
      <c r="Y545" s="17"/>
      <c r="Z545" s="17"/>
      <c r="AA545" s="17"/>
      <c r="AB545" s="19"/>
      <c r="AC545" s="78"/>
    </row>
    <row r="546" spans="1:29" ht="13" x14ac:dyDescent="0.3">
      <c r="A546" s="57" t="s">
        <v>158</v>
      </c>
      <c r="B546" s="111">
        <f>IF(AND('AES Indiana Sep 23 Bill Calc.'!$D$17="PL",'AES Indiana Sep 23 Bill Calc.'!$D$18="Yes 25%",'AES Indiana Sep 23 Bill Calc.'!$D$20="Yes 2018"),'AES Indiana Sep 23 Bill Calc.'!$D$19,-1)</f>
        <v>-1</v>
      </c>
      <c r="C546" s="111">
        <f>MAX(E546,$C$516)</f>
        <v>500</v>
      </c>
      <c r="D546" s="111" t="b">
        <f>IF(AND('AES Indiana Sep 23 Bill Calc.'!$D$17="PL",'AES Indiana Sep 23 Bill Calc.'!$D$18="Yes 25%",'AES Indiana Sep 23 Bill Calc.'!$D$20="Yes 2018"),'AES Indiana Sep 23 Bill Calc.'!$D$22)</f>
        <v>0</v>
      </c>
      <c r="E546" s="111" t="b">
        <f>IF(AND('AES Indiana Sep 23 Bill Calc.'!$D$17="PL",'AES Indiana Sep 23 Bill Calc.'!$D$18="Yes 25%",'AES Indiana Sep 23 Bill Calc.'!$D$20="Yes 2018"),'AES Indiana Sep 23 Bill Calc.'!$D$21)</f>
        <v>0</v>
      </c>
      <c r="F546" s="37" t="s">
        <v>126</v>
      </c>
      <c r="G546" s="43" t="e">
        <f>SUM(J546:M546,R546:AA546)</f>
        <v>#N/A</v>
      </c>
      <c r="H546" s="19" t="e">
        <f>IF(ISBLANK(B546),0,+#REF!/B546)</f>
        <v>#REF!</v>
      </c>
      <c r="I546" s="19"/>
      <c r="J546" s="108">
        <f>IF(ISBLANK(B546),0,+J$517)</f>
        <v>118.2</v>
      </c>
      <c r="K546" s="43">
        <f>ROUND($B546*K$517,2)</f>
        <v>-0.04</v>
      </c>
      <c r="L546" s="113">
        <f>IF($C546&gt;L$518,ROUND(L$518*L$517,2),ROUND($C546*L$517,2))</f>
        <v>11440</v>
      </c>
      <c r="M546" s="113">
        <f>IF($C546&gt;L$518,ROUND(($C546-L$518)*M$517,2),0)</f>
        <v>0</v>
      </c>
      <c r="N546" s="113">
        <f>K546</f>
        <v>-0.04</v>
      </c>
      <c r="O546" s="43"/>
      <c r="P546" s="43"/>
      <c r="Q546" s="113">
        <f>SUM(L546:M546)</f>
        <v>11440</v>
      </c>
      <c r="R546" s="101" t="e">
        <f>ROUND(SUM(K546:M546)*(R545-1),2)</f>
        <v>#N/A</v>
      </c>
      <c r="S546" s="43">
        <f>ROUND($B546*S$517*S545,2)</f>
        <v>0</v>
      </c>
      <c r="T546" s="43">
        <f>ROUND($B546*T$517,2)</f>
        <v>0</v>
      </c>
      <c r="U546" s="43">
        <f>ROUND($B546*U$517,2)</f>
        <v>0</v>
      </c>
      <c r="V546" s="42">
        <f>ROUND($B546*V$511,2)</f>
        <v>0</v>
      </c>
      <c r="W546" s="43">
        <f>ROUND($B546*W$517,2)</f>
        <v>0</v>
      </c>
      <c r="X546" s="43">
        <f>ROUND($B546*X$517,2)</f>
        <v>0</v>
      </c>
      <c r="Y546" s="43">
        <f>ROUND($B546*Y$517,2)</f>
        <v>0</v>
      </c>
      <c r="Z546" s="43">
        <f>ROUND($B546*Z$517,2)</f>
        <v>0</v>
      </c>
      <c r="AA546" s="43">
        <f>ROUND($B546*AA$517,2)</f>
        <v>0</v>
      </c>
      <c r="AB546" s="19">
        <f>SUM(U$517:AA$517)+(-V$517+V515)</f>
        <v>2.3760000000000005E-3</v>
      </c>
      <c r="AC546" s="115" t="str">
        <f>+F546</f>
        <v>PL8</v>
      </c>
    </row>
    <row r="547" spans="1:29" ht="13" x14ac:dyDescent="0.3">
      <c r="A547" s="9"/>
      <c r="B547" s="111">
        <v>-1</v>
      </c>
      <c r="D547" s="8"/>
      <c r="E547" s="9"/>
      <c r="F547" s="37"/>
      <c r="G547" s="17"/>
      <c r="H547" s="19"/>
      <c r="I547" s="19"/>
      <c r="J547" s="53"/>
      <c r="K547" s="17"/>
      <c r="L547" s="17"/>
      <c r="M547" s="17"/>
      <c r="N547" s="17"/>
      <c r="O547" s="17"/>
      <c r="P547" s="17"/>
      <c r="Q547" s="17"/>
      <c r="R547" s="39" t="e">
        <f>VLOOKUP((D548),'Pwr Factor'!$A$1:$B$52,2)</f>
        <v>#N/A</v>
      </c>
      <c r="S547" s="51">
        <v>0.1</v>
      </c>
      <c r="T547" s="17"/>
      <c r="U547" s="17"/>
      <c r="V547" s="8"/>
      <c r="W547" s="17"/>
      <c r="X547" s="17"/>
      <c r="Y547" s="17"/>
      <c r="Z547" s="17"/>
      <c r="AA547" s="17"/>
      <c r="AB547" s="19"/>
      <c r="AC547" s="78"/>
    </row>
    <row r="548" spans="1:29" ht="13" x14ac:dyDescent="0.3">
      <c r="A548" s="57" t="s">
        <v>173</v>
      </c>
      <c r="B548" s="111">
        <f>IF(AND('AES Indiana Sep 23 Bill Calc.'!$D$17="PL",'AES Indiana Sep 23 Bill Calc.'!$D$18="Yes 10%",'AES Indiana Sep 23 Bill Calc.'!$D$20="Yes 2018"),'AES Indiana Sep 23 Bill Calc.'!$D$19,-1)</f>
        <v>-1</v>
      </c>
      <c r="C548" s="111">
        <f>MAX(E548,$C$516)</f>
        <v>500</v>
      </c>
      <c r="D548" s="111" t="b">
        <f>IF(AND('AES Indiana Sep 23 Bill Calc.'!$D$17="PL",'AES Indiana Sep 23 Bill Calc.'!$D$18="Yes 10%",'AES Indiana Sep 23 Bill Calc.'!$D$20="Yes 2018"),'AES Indiana Sep 23 Bill Calc.'!$D$22)</f>
        <v>0</v>
      </c>
      <c r="E548" s="111" t="b">
        <f>IF(AND('AES Indiana Sep 23 Bill Calc.'!$D$17="PL",'AES Indiana Sep 23 Bill Calc.'!$D$18="Yes 10%",'AES Indiana Sep 23 Bill Calc.'!$D$20="Yes 2018"),'AES Indiana Sep 23 Bill Calc.'!$D$21)</f>
        <v>0</v>
      </c>
      <c r="F548" s="37" t="s">
        <v>126</v>
      </c>
      <c r="G548" s="43" t="e">
        <f>SUM(J548:M548,R548:AA548)</f>
        <v>#N/A</v>
      </c>
      <c r="H548" s="19" t="e">
        <f>IF(ISBLANK(B548),0,+#REF!/B548)</f>
        <v>#REF!</v>
      </c>
      <c r="I548" s="19"/>
      <c r="J548" s="108">
        <f>IF(ISBLANK(B548),0,+J$517)</f>
        <v>118.2</v>
      </c>
      <c r="K548" s="43">
        <f>ROUND($B548*K$517,2)</f>
        <v>-0.04</v>
      </c>
      <c r="L548" s="113">
        <f>IF($C548&gt;L$518,ROUND(L$518*L$517,2),ROUND($C548*L$517,2))</f>
        <v>11440</v>
      </c>
      <c r="M548" s="113">
        <f>IF($C548&gt;L$518,ROUND(($C548-L$518)*M$517,2),0)</f>
        <v>0</v>
      </c>
      <c r="N548" s="113">
        <f>K548</f>
        <v>-0.04</v>
      </c>
      <c r="O548" s="43"/>
      <c r="P548" s="43"/>
      <c r="Q548" s="113">
        <f>SUM(L548:M548)</f>
        <v>11440</v>
      </c>
      <c r="R548" s="101" t="e">
        <f>ROUND(SUM(K548:M548)*(R547-1),2)</f>
        <v>#N/A</v>
      </c>
      <c r="S548" s="43">
        <f>ROUND($B548*S$517*S547,2)</f>
        <v>0</v>
      </c>
      <c r="T548" s="43">
        <f>ROUND($B548*T$517,2)</f>
        <v>0</v>
      </c>
      <c r="U548" s="43">
        <f>ROUND($B548*U$517,2)</f>
        <v>0</v>
      </c>
      <c r="V548" s="42">
        <f>ROUND($B548*V$511,2)</f>
        <v>0</v>
      </c>
      <c r="W548" s="43">
        <f>ROUND($B548*W$517,2)</f>
        <v>0</v>
      </c>
      <c r="X548" s="43">
        <f>ROUND($B548*X$517,2)</f>
        <v>0</v>
      </c>
      <c r="Y548" s="43">
        <f>ROUND($B548*Y$517,2)</f>
        <v>0</v>
      </c>
      <c r="Z548" s="43">
        <f>ROUND($B548*Z$517,2)</f>
        <v>0</v>
      </c>
      <c r="AA548" s="43">
        <f>ROUND($B548*AA$517,2)</f>
        <v>0</v>
      </c>
      <c r="AB548" s="19">
        <f>SUM(U$517:AA$517)+(-V$517+V518)</f>
        <v>2.3760000000000005E-3</v>
      </c>
      <c r="AC548" s="115" t="str">
        <f>+F548</f>
        <v>PL8</v>
      </c>
    </row>
    <row r="549" spans="1:29" ht="13" x14ac:dyDescent="0.3">
      <c r="A549" s="9"/>
      <c r="B549" s="111">
        <v>-1</v>
      </c>
      <c r="D549" s="8"/>
      <c r="E549" s="9"/>
      <c r="F549" s="37"/>
      <c r="G549" s="17"/>
      <c r="H549" s="19"/>
      <c r="I549" s="19"/>
      <c r="J549" s="53"/>
      <c r="K549" s="17"/>
      <c r="L549" s="17"/>
      <c r="M549" s="17"/>
      <c r="N549" s="17"/>
      <c r="O549" s="17"/>
      <c r="P549" s="17"/>
      <c r="Q549" s="17"/>
      <c r="R549" s="39" t="e">
        <f>VLOOKUP((D550),'Pwr Factor'!$A$1:$B$52,2)</f>
        <v>#N/A</v>
      </c>
      <c r="S549" s="51">
        <v>0</v>
      </c>
      <c r="T549" s="17"/>
      <c r="U549" s="17"/>
      <c r="V549" s="8"/>
      <c r="W549" s="17"/>
      <c r="X549" s="17"/>
      <c r="Y549" s="17"/>
      <c r="Z549" s="17"/>
      <c r="AA549" s="17"/>
      <c r="AB549" s="19"/>
      <c r="AC549" s="78"/>
    </row>
    <row r="550" spans="1:29" ht="13" x14ac:dyDescent="0.3">
      <c r="A550" s="57" t="s">
        <v>172</v>
      </c>
      <c r="B550" s="111">
        <f>IF(AND('AES Indiana Sep 23 Bill Calc.'!$D$17="PL",'AES Indiana Sep 23 Bill Calc.'!$D$18="No",'AES Indiana Sep 23 Bill Calc.'!$D$20="Yes 2018"),'AES Indiana Sep 23 Bill Calc.'!$D$19,-1)</f>
        <v>-1</v>
      </c>
      <c r="C550" s="111">
        <f>MAX(E550,$C$516)</f>
        <v>500</v>
      </c>
      <c r="D550" s="111" t="b">
        <f>IF(AND('AES Indiana Sep 23 Bill Calc.'!$D$17="PL",'AES Indiana Sep 23 Bill Calc.'!$D$18="No",'AES Indiana Sep 23 Bill Calc.'!$D$20="Yes 2018"),'AES Indiana Sep 23 Bill Calc.'!$D$22)</f>
        <v>0</v>
      </c>
      <c r="E550" s="111" t="b">
        <f>IF(AND('AES Indiana Sep 23 Bill Calc.'!$D$17="PL",'AES Indiana Sep 23 Bill Calc.'!$D$18="No",'AES Indiana Sep 23 Bill Calc.'!$D$20="Yes 2018"),'AES Indiana Sep 23 Bill Calc.'!$D$21)</f>
        <v>0</v>
      </c>
      <c r="F550" s="37" t="s">
        <v>126</v>
      </c>
      <c r="G550" s="43" t="e">
        <f>SUM(J550:M550,R550:AA550)</f>
        <v>#N/A</v>
      </c>
      <c r="H550" s="19" t="e">
        <f>IF(ISBLANK(B550),0,+#REF!/B550)</f>
        <v>#REF!</v>
      </c>
      <c r="I550" s="19"/>
      <c r="J550" s="108">
        <f>IF(ISBLANK(B550),0,+J$517)</f>
        <v>118.2</v>
      </c>
      <c r="K550" s="43">
        <f>ROUND($B550*K$517,2)</f>
        <v>-0.04</v>
      </c>
      <c r="L550" s="113">
        <f>IF($C550&gt;L$518,ROUND(L$518*L$517,2),ROUND($C550*L$517,2))</f>
        <v>11440</v>
      </c>
      <c r="M550" s="113">
        <f>IF($C550&gt;L$518,ROUND(($C550-L$518)*M$517,2),0)</f>
        <v>0</v>
      </c>
      <c r="N550" s="113">
        <f>K550</f>
        <v>-0.04</v>
      </c>
      <c r="O550" s="43"/>
      <c r="P550" s="43"/>
      <c r="Q550" s="113">
        <f>SUM(L550:M550)</f>
        <v>11440</v>
      </c>
      <c r="R550" s="101" t="e">
        <f>ROUND(SUM(K550:M550)*(R549-1),2)</f>
        <v>#N/A</v>
      </c>
      <c r="S550" s="43">
        <f>ROUND($B550*S$517*S549,2)</f>
        <v>0</v>
      </c>
      <c r="T550" s="43">
        <f>ROUND($B550*T$517,2)</f>
        <v>0</v>
      </c>
      <c r="U550" s="43">
        <f>ROUND($B550*U$517,2)</f>
        <v>0</v>
      </c>
      <c r="V550" s="42">
        <f>ROUND($B550*V$511,2)</f>
        <v>0</v>
      </c>
      <c r="W550" s="43">
        <f>ROUND($B550*W$517,2)</f>
        <v>0</v>
      </c>
      <c r="X550" s="43">
        <f>ROUND($B550*X$517,2)</f>
        <v>0</v>
      </c>
      <c r="Y550" s="43">
        <f>ROUND($B550*Y$517,2)</f>
        <v>0</v>
      </c>
      <c r="Z550" s="43">
        <f>ROUND($B550*Z$517,2)</f>
        <v>0</v>
      </c>
      <c r="AA550" s="43">
        <f>ROUND($B550*AA$517,2)</f>
        <v>0</v>
      </c>
      <c r="AB550" s="19" t="e">
        <f>SUM(U$517:AA$517)+(-V$517+V520)</f>
        <v>#VALUE!</v>
      </c>
      <c r="AC550" s="115" t="str">
        <f>+F550</f>
        <v>PL8</v>
      </c>
    </row>
    <row r="551" spans="1:29" ht="13" x14ac:dyDescent="0.3">
      <c r="A551" s="56"/>
      <c r="B551" s="128">
        <v>-1</v>
      </c>
      <c r="D551" s="107"/>
      <c r="E551" s="119"/>
      <c r="F551" s="37"/>
      <c r="G551" s="120"/>
      <c r="H551" s="19"/>
      <c r="I551" s="19"/>
      <c r="J551" s="132"/>
      <c r="K551" s="120"/>
      <c r="L551" s="120"/>
      <c r="M551" s="120"/>
      <c r="N551" s="120"/>
      <c r="O551" s="120"/>
      <c r="P551" s="120"/>
      <c r="Q551" s="120"/>
      <c r="R551" s="39" t="e">
        <f>VLOOKUP((D552),'Pwr Factor'!$A$1:$B$52,2)</f>
        <v>#N/A</v>
      </c>
      <c r="S551" s="51">
        <v>1</v>
      </c>
      <c r="T551" s="120"/>
      <c r="U551" s="120"/>
      <c r="V551" s="107"/>
      <c r="W551" s="120"/>
      <c r="X551" s="120"/>
      <c r="Y551" s="120"/>
      <c r="Z551" s="120"/>
      <c r="AA551" s="120"/>
      <c r="AB551" s="19"/>
      <c r="AC551" s="133"/>
    </row>
    <row r="552" spans="1:29" ht="13" x14ac:dyDescent="0.3">
      <c r="A552" s="1" t="s">
        <v>73</v>
      </c>
      <c r="B552" s="111">
        <f>IF(AND('AES Indiana Sep 23 Bill Calc.'!$D$17="PL",'AES Indiana Sep 23 Bill Calc.'!$D$18="Yes 100%",'AES Indiana Sep 23 Bill Calc.'!$D$20="Yes 2019"),'AES Indiana Sep 23 Bill Calc.'!$D$19,-1)</f>
        <v>-1</v>
      </c>
      <c r="C552" s="111">
        <f>MAX(E552,$C$516)</f>
        <v>500</v>
      </c>
      <c r="D552" s="111" t="b">
        <f>IF(AND('AES Indiana Sep 23 Bill Calc.'!$D$17="PL",'AES Indiana Sep 23 Bill Calc.'!$D$18="Yes 100%",'AES Indiana Sep 23 Bill Calc.'!$D$20="Yes 2019"),'AES Indiana Sep 23 Bill Calc.'!$D$22)</f>
        <v>0</v>
      </c>
      <c r="E552" s="111" t="b">
        <f>IF(AND('AES Indiana Sep 23 Bill Calc.'!$D$17="PL",'AES Indiana Sep 23 Bill Calc.'!$D$18="Yes 100%",'AES Indiana Sep 23 Bill Calc.'!$D$20="Yes 2019"),'AES Indiana Sep 23 Bill Calc.'!$D$21)</f>
        <v>0</v>
      </c>
      <c r="F552" s="37" t="s">
        <v>147</v>
      </c>
      <c r="G552" s="43" t="e">
        <f>SUM(J552:M552,R552:AA552)</f>
        <v>#N/A</v>
      </c>
      <c r="H552" s="19" t="e">
        <f>IF(ISBLANK(B552),0,+#REF!/B552)</f>
        <v>#REF!</v>
      </c>
      <c r="I552" s="19"/>
      <c r="J552" s="108">
        <f>IF(ISBLANK(B552),0,+J$517)</f>
        <v>118.2</v>
      </c>
      <c r="K552" s="43">
        <f>ROUND($B552*K$517,2)</f>
        <v>-0.04</v>
      </c>
      <c r="L552" s="113">
        <f>IF($C552&gt;L$518,ROUND(L$518*L$517,2),ROUND($C552*L$517,2))</f>
        <v>11440</v>
      </c>
      <c r="M552" s="113">
        <f>IF($C552&gt;L$518,ROUND(($C552-L$518)*M$517,2),0)</f>
        <v>0</v>
      </c>
      <c r="N552" s="113">
        <f>K552</f>
        <v>-0.04</v>
      </c>
      <c r="O552" s="43"/>
      <c r="P552" s="43"/>
      <c r="Q552" s="113">
        <f>SUM(L552:M552)</f>
        <v>11440</v>
      </c>
      <c r="R552" s="101" t="e">
        <f>ROUND(SUM(K552:M552)*(R551-1),2)</f>
        <v>#N/A</v>
      </c>
      <c r="S552" s="43">
        <f>ROUND($B552*S$517*S551,2)</f>
        <v>0</v>
      </c>
      <c r="T552" s="43">
        <f>ROUND($B552*T$517,2)</f>
        <v>0</v>
      </c>
      <c r="U552" s="43">
        <f>ROUND($B552*U$517,2)</f>
        <v>0</v>
      </c>
      <c r="V552" s="107">
        <f>ROUND($B552*V$512,2)</f>
        <v>0</v>
      </c>
      <c r="W552" s="43">
        <f>ROUND($B552*W$517,2)</f>
        <v>0</v>
      </c>
      <c r="X552" s="43">
        <f>ROUND($B552*X$517,2)</f>
        <v>0</v>
      </c>
      <c r="Y552" s="43">
        <f>ROUND($B552*Y$517,2)</f>
        <v>0</v>
      </c>
      <c r="Z552" s="43">
        <f>ROUND($B552*Z$517,2)</f>
        <v>0</v>
      </c>
      <c r="AA552" s="43">
        <f>ROUND($B552*AA$517,2)</f>
        <v>0</v>
      </c>
      <c r="AB552" s="19">
        <f>SUM(U$517:AA$517)+(-V$517+V513)</f>
        <v>3.4090000000000006E-3</v>
      </c>
      <c r="AC552" s="115" t="str">
        <f>+F552</f>
        <v>PL9</v>
      </c>
    </row>
    <row r="553" spans="1:29" ht="13" x14ac:dyDescent="0.3">
      <c r="A553" s="9"/>
      <c r="B553" s="128">
        <v>-1</v>
      </c>
      <c r="D553" s="107"/>
      <c r="E553" s="119"/>
      <c r="F553" s="37"/>
      <c r="G553" s="120"/>
      <c r="H553" s="19"/>
      <c r="I553" s="19"/>
      <c r="J553" s="132"/>
      <c r="K553" s="120"/>
      <c r="L553" s="120"/>
      <c r="M553" s="120"/>
      <c r="N553" s="120"/>
      <c r="O553" s="120"/>
      <c r="P553" s="120"/>
      <c r="Q553" s="120"/>
      <c r="R553" s="39" t="e">
        <f>VLOOKUP((D554),'Pwr Factor'!$A$1:$B$52,2)</f>
        <v>#N/A</v>
      </c>
      <c r="S553" s="51">
        <v>0.5</v>
      </c>
      <c r="T553" s="120"/>
      <c r="U553" s="120"/>
      <c r="V553" s="107"/>
      <c r="W553" s="120"/>
      <c r="X553" s="120"/>
      <c r="Y553" s="120"/>
      <c r="Z553" s="120"/>
      <c r="AA553" s="120"/>
      <c r="AB553" s="19"/>
      <c r="AC553" s="133"/>
    </row>
    <row r="554" spans="1:29" ht="13" x14ac:dyDescent="0.3">
      <c r="A554" s="57" t="s">
        <v>171</v>
      </c>
      <c r="B554" s="111">
        <f>IF(AND('AES Indiana Sep 23 Bill Calc.'!$D$17="PL",'AES Indiana Sep 23 Bill Calc.'!$D$18="Yes 50%",'AES Indiana Sep 23 Bill Calc.'!$D$20="Yes 2019"),'AES Indiana Sep 23 Bill Calc.'!$D$19,-1)</f>
        <v>-1</v>
      </c>
      <c r="C554" s="111">
        <f>MAX(E554,$C$516)</f>
        <v>500</v>
      </c>
      <c r="D554" s="111" t="b">
        <f>IF(AND('AES Indiana Sep 23 Bill Calc.'!$D$17="PL",'AES Indiana Sep 23 Bill Calc.'!$D$18="Yes 50%",'AES Indiana Sep 23 Bill Calc.'!$D$20="Yes 2019"),'AES Indiana Sep 23 Bill Calc.'!$D$22)</f>
        <v>0</v>
      </c>
      <c r="E554" s="111" t="b">
        <f>IF(AND('AES Indiana Sep 23 Bill Calc.'!$D$17="PL",'AES Indiana Sep 23 Bill Calc.'!$D$18="Yes 50%",'AES Indiana Sep 23 Bill Calc.'!$D$20="Yes 2019"),'AES Indiana Sep 23 Bill Calc.'!$D$21)</f>
        <v>0</v>
      </c>
      <c r="F554" s="37" t="s">
        <v>147</v>
      </c>
      <c r="G554" s="43" t="e">
        <f>SUM(J554:M554,R554:AA554)</f>
        <v>#N/A</v>
      </c>
      <c r="H554" s="19" t="e">
        <f>IF(ISBLANK(B554),0,+#REF!/B554)</f>
        <v>#REF!</v>
      </c>
      <c r="I554" s="19"/>
      <c r="J554" s="108">
        <f>IF(ISBLANK(B554),0,+J$517)</f>
        <v>118.2</v>
      </c>
      <c r="K554" s="43">
        <f>ROUND($B554*K$517,2)</f>
        <v>-0.04</v>
      </c>
      <c r="L554" s="113">
        <f>IF($C554&gt;L$518,ROUND(L$518*L$517,2),ROUND($C554*L$517,2))</f>
        <v>11440</v>
      </c>
      <c r="M554" s="113">
        <f>IF($C554&gt;L$518,ROUND(($C554-L$518)*M$517,2),0)</f>
        <v>0</v>
      </c>
      <c r="N554" s="113">
        <f>K554</f>
        <v>-0.04</v>
      </c>
      <c r="O554" s="43"/>
      <c r="P554" s="43"/>
      <c r="Q554" s="113">
        <f>SUM(L554:M554)</f>
        <v>11440</v>
      </c>
      <c r="R554" s="101" t="e">
        <f>ROUND(SUM(K554:M554)*(R553-1),2)</f>
        <v>#N/A</v>
      </c>
      <c r="S554" s="43">
        <f>ROUND($B554*S$517*S553,2)</f>
        <v>0</v>
      </c>
      <c r="T554" s="43">
        <f>ROUND($B554*T$517,2)</f>
        <v>0</v>
      </c>
      <c r="U554" s="43">
        <f>ROUND($B554*U$517,2)</f>
        <v>0</v>
      </c>
      <c r="V554" s="107">
        <f>ROUND($B554*V$512,2)</f>
        <v>0</v>
      </c>
      <c r="W554" s="43">
        <f>ROUND($B554*W$517,2)</f>
        <v>0</v>
      </c>
      <c r="X554" s="43">
        <f>ROUND($B554*X$517,2)</f>
        <v>0</v>
      </c>
      <c r="Y554" s="43">
        <f>ROUND($B554*Y$517,2)</f>
        <v>0</v>
      </c>
      <c r="Z554" s="43">
        <f>ROUND($B554*Z$517,2)</f>
        <v>0</v>
      </c>
      <c r="AA554" s="43">
        <f>ROUND($B554*AA$517,2)</f>
        <v>0</v>
      </c>
      <c r="AB554" s="19">
        <f>SUM(U$517:AA$517)+(-V$517+V515)</f>
        <v>2.3760000000000005E-3</v>
      </c>
      <c r="AC554" s="115" t="str">
        <f>+F554</f>
        <v>PL9</v>
      </c>
    </row>
    <row r="555" spans="1:29" ht="13" x14ac:dyDescent="0.3">
      <c r="A555" s="9"/>
      <c r="B555" s="128">
        <v>-1</v>
      </c>
      <c r="D555" s="107"/>
      <c r="E555" s="119"/>
      <c r="F555" s="37"/>
      <c r="G555" s="120"/>
      <c r="H555" s="19"/>
      <c r="I555" s="19"/>
      <c r="J555" s="132"/>
      <c r="K555" s="120"/>
      <c r="L555" s="120"/>
      <c r="M555" s="120"/>
      <c r="N555" s="120"/>
      <c r="O555" s="120"/>
      <c r="P555" s="120"/>
      <c r="Q555" s="120"/>
      <c r="R555" s="39" t="e">
        <f>VLOOKUP((D556),'Pwr Factor'!$A$1:$B$52,2)</f>
        <v>#N/A</v>
      </c>
      <c r="S555" s="51">
        <v>0.25</v>
      </c>
      <c r="T555" s="120"/>
      <c r="U555" s="120"/>
      <c r="V555" s="107"/>
      <c r="W555" s="120"/>
      <c r="X555" s="120"/>
      <c r="Y555" s="120"/>
      <c r="Z555" s="120"/>
      <c r="AA555" s="120"/>
      <c r="AB555" s="19"/>
      <c r="AC555" s="133"/>
    </row>
    <row r="556" spans="1:29" ht="13" x14ac:dyDescent="0.3">
      <c r="A556" s="57" t="s">
        <v>158</v>
      </c>
      <c r="B556" s="111">
        <f>IF(AND('AES Indiana Sep 23 Bill Calc.'!$D$17="PL",'AES Indiana Sep 23 Bill Calc.'!$D$18="Yes 25%",'AES Indiana Sep 23 Bill Calc.'!$D$20="Yes 2019"),'AES Indiana Sep 23 Bill Calc.'!$D$19,-1)</f>
        <v>-1</v>
      </c>
      <c r="C556" s="111">
        <f>MAX(E556,$C$516)</f>
        <v>500</v>
      </c>
      <c r="D556" s="111" t="b">
        <f>IF(AND('AES Indiana Sep 23 Bill Calc.'!$D$17="PL",'AES Indiana Sep 23 Bill Calc.'!$D$18="Yes 25%",'AES Indiana Sep 23 Bill Calc.'!$D$20="Yes 2019"),'AES Indiana Sep 23 Bill Calc.'!$D$22)</f>
        <v>0</v>
      </c>
      <c r="E556" s="111" t="b">
        <f>IF(AND('AES Indiana Sep 23 Bill Calc.'!$D$17="PL",'AES Indiana Sep 23 Bill Calc.'!$D$18="Yes 25%",'AES Indiana Sep 23 Bill Calc.'!$D$20="Yes 2019"),'AES Indiana Sep 23 Bill Calc.'!$D$21)</f>
        <v>0</v>
      </c>
      <c r="F556" s="37" t="s">
        <v>147</v>
      </c>
      <c r="G556" s="43" t="e">
        <f>SUM(J556:M556,R556:AA556)</f>
        <v>#N/A</v>
      </c>
      <c r="H556" s="19" t="e">
        <f>IF(ISBLANK(B556),0,+#REF!/B556)</f>
        <v>#REF!</v>
      </c>
      <c r="I556" s="19"/>
      <c r="J556" s="108">
        <f>IF(ISBLANK(B556),0,+J$517)</f>
        <v>118.2</v>
      </c>
      <c r="K556" s="43">
        <f>ROUND($B556*K$517,2)</f>
        <v>-0.04</v>
      </c>
      <c r="L556" s="113">
        <f>IF($C556&gt;L$518,ROUND(L$518*L$517,2),ROUND($C556*L$517,2))</f>
        <v>11440</v>
      </c>
      <c r="M556" s="113">
        <f>IF($C556&gt;L$518,ROUND(($C556-L$518)*M$517,2),0)</f>
        <v>0</v>
      </c>
      <c r="N556" s="113">
        <f>K556</f>
        <v>-0.04</v>
      </c>
      <c r="O556" s="43"/>
      <c r="P556" s="43"/>
      <c r="Q556" s="113">
        <f>SUM(L556:M556)</f>
        <v>11440</v>
      </c>
      <c r="R556" s="101" t="e">
        <f>ROUND(SUM(K556:M556)*(R555-1),2)</f>
        <v>#N/A</v>
      </c>
      <c r="S556" s="43">
        <f>ROUND($B556*S$517*S555,2)</f>
        <v>0</v>
      </c>
      <c r="T556" s="43">
        <f>ROUND($B556*T$517,2)</f>
        <v>0</v>
      </c>
      <c r="U556" s="43">
        <f>ROUND($B556*U$517,2)</f>
        <v>0</v>
      </c>
      <c r="V556" s="107">
        <f>ROUND($B556*V$512,2)</f>
        <v>0</v>
      </c>
      <c r="W556" s="43">
        <f>ROUND($B556*W$517,2)</f>
        <v>0</v>
      </c>
      <c r="X556" s="43">
        <f>ROUND($B556*X$517,2)</f>
        <v>0</v>
      </c>
      <c r="Y556" s="43">
        <f>ROUND($B556*Y$517,2)</f>
        <v>0</v>
      </c>
      <c r="Z556" s="43">
        <f>ROUND($B556*Z$517,2)</f>
        <v>0</v>
      </c>
      <c r="AA556" s="43">
        <f>ROUND($B556*AA$517,2)</f>
        <v>0</v>
      </c>
      <c r="AB556" s="19">
        <f>SUM(U$517:AA$517)+(-V$517+V518)</f>
        <v>2.3760000000000005E-3</v>
      </c>
      <c r="AC556" s="115" t="str">
        <f>+F556</f>
        <v>PL9</v>
      </c>
    </row>
    <row r="557" spans="1:29" ht="13" x14ac:dyDescent="0.3">
      <c r="A557" s="9"/>
      <c r="B557" s="128">
        <v>-1</v>
      </c>
      <c r="D557" s="107"/>
      <c r="E557" s="119"/>
      <c r="F557" s="37"/>
      <c r="G557" s="120"/>
      <c r="H557" s="19"/>
      <c r="I557" s="19"/>
      <c r="J557" s="132"/>
      <c r="K557" s="120"/>
      <c r="L557" s="120"/>
      <c r="M557" s="120"/>
      <c r="N557" s="120"/>
      <c r="O557" s="120"/>
      <c r="P557" s="120"/>
      <c r="Q557" s="120"/>
      <c r="R557" s="39" t="e">
        <f>VLOOKUP((D558),'Pwr Factor'!$A$1:$B$52,2)</f>
        <v>#N/A</v>
      </c>
      <c r="S557" s="51">
        <v>0.1</v>
      </c>
      <c r="T557" s="120"/>
      <c r="U557" s="120"/>
      <c r="V557" s="107"/>
      <c r="W557" s="120"/>
      <c r="X557" s="120"/>
      <c r="Y557" s="120"/>
      <c r="Z557" s="120"/>
      <c r="AA557" s="120"/>
      <c r="AB557" s="19"/>
      <c r="AC557" s="133"/>
    </row>
    <row r="558" spans="1:29" ht="13" x14ac:dyDescent="0.3">
      <c r="A558" s="57" t="s">
        <v>173</v>
      </c>
      <c r="B558" s="111">
        <f>IF(AND('AES Indiana Sep 23 Bill Calc.'!$D$17="PL",'AES Indiana Sep 23 Bill Calc.'!$D$18="Yes 10%",'AES Indiana Sep 23 Bill Calc.'!$D$20="Yes 2019"),'AES Indiana Sep 23 Bill Calc.'!$D$19,-1)</f>
        <v>-1</v>
      </c>
      <c r="C558" s="111">
        <f>MAX(E558,$C$516)</f>
        <v>500</v>
      </c>
      <c r="D558" s="111" t="b">
        <f>IF(AND('AES Indiana Sep 23 Bill Calc.'!$D$17="PL",'AES Indiana Sep 23 Bill Calc.'!$D$18="Yes 10%",'AES Indiana Sep 23 Bill Calc.'!$D$20="Yes 2019"),'AES Indiana Sep 23 Bill Calc.'!$D$22)</f>
        <v>0</v>
      </c>
      <c r="E558" s="111" t="b">
        <f>IF(AND('AES Indiana Sep 23 Bill Calc.'!$D$17="PL",'AES Indiana Sep 23 Bill Calc.'!$D$18="Yes 10%",'AES Indiana Sep 23 Bill Calc.'!$D$20="Yes 2019"),'AES Indiana Sep 23 Bill Calc.'!$D$21)</f>
        <v>0</v>
      </c>
      <c r="F558" s="37" t="s">
        <v>147</v>
      </c>
      <c r="G558" s="43" t="e">
        <f>SUM(J558:M558,R558:AA558)</f>
        <v>#N/A</v>
      </c>
      <c r="H558" s="19" t="e">
        <f>IF(ISBLANK(B558),0,+#REF!/B558)</f>
        <v>#REF!</v>
      </c>
      <c r="I558" s="19"/>
      <c r="J558" s="108">
        <f>IF(ISBLANK(B558),0,+J$517)</f>
        <v>118.2</v>
      </c>
      <c r="K558" s="43">
        <f>ROUND($B558*K$517,2)</f>
        <v>-0.04</v>
      </c>
      <c r="L558" s="113">
        <f>IF($C558&gt;L$518,ROUND(L$518*L$517,2),ROUND($C558*L$517,2))</f>
        <v>11440</v>
      </c>
      <c r="M558" s="113">
        <f>IF($C558&gt;L$518,ROUND(($C558-L$518)*M$517,2),0)</f>
        <v>0</v>
      </c>
      <c r="N558" s="113">
        <f>K558</f>
        <v>-0.04</v>
      </c>
      <c r="O558" s="43"/>
      <c r="P558" s="43"/>
      <c r="Q558" s="113">
        <f>SUM(L558:M558)</f>
        <v>11440</v>
      </c>
      <c r="R558" s="101" t="e">
        <f>ROUND(SUM(K558:M558)*(R557-1),2)</f>
        <v>#N/A</v>
      </c>
      <c r="S558" s="43">
        <f>ROUND($B558*S$517*S557,2)</f>
        <v>0</v>
      </c>
      <c r="T558" s="43">
        <f>ROUND($B558*T$517,2)</f>
        <v>0</v>
      </c>
      <c r="U558" s="43">
        <f>ROUND($B558*U$517,2)</f>
        <v>0</v>
      </c>
      <c r="V558" s="107">
        <f>ROUND($B558*V$512,2)</f>
        <v>0</v>
      </c>
      <c r="W558" s="43">
        <f>ROUND($B558*W$517,2)</f>
        <v>0</v>
      </c>
      <c r="X558" s="43">
        <f>ROUND($B558*X$517,2)</f>
        <v>0</v>
      </c>
      <c r="Y558" s="43">
        <f>ROUND($B558*Y$517,2)</f>
        <v>0</v>
      </c>
      <c r="Z558" s="43">
        <f>ROUND($B558*Z$517,2)</f>
        <v>0</v>
      </c>
      <c r="AA558" s="43">
        <f>ROUND($B558*AA$517,2)</f>
        <v>0</v>
      </c>
      <c r="AB558" s="19" t="e">
        <f>SUM(U$517:AA$517)+(-V$517+V520)</f>
        <v>#VALUE!</v>
      </c>
      <c r="AC558" s="115" t="str">
        <f>+F558</f>
        <v>PL9</v>
      </c>
    </row>
    <row r="559" spans="1:29" ht="13" x14ac:dyDescent="0.3">
      <c r="A559" s="9"/>
      <c r="B559" s="128">
        <v>-1</v>
      </c>
      <c r="D559" s="107"/>
      <c r="E559" s="119"/>
      <c r="F559" s="37"/>
      <c r="G559" s="120"/>
      <c r="H559" s="19"/>
      <c r="I559" s="19"/>
      <c r="J559" s="132"/>
      <c r="K559" s="120"/>
      <c r="L559" s="120"/>
      <c r="M559" s="120"/>
      <c r="N559" s="120"/>
      <c r="O559" s="120"/>
      <c r="P559" s="120"/>
      <c r="Q559" s="120"/>
      <c r="R559" s="39" t="e">
        <f>VLOOKUP((D560),'Pwr Factor'!$A$1:$B$52,2)</f>
        <v>#N/A</v>
      </c>
      <c r="S559" s="51">
        <v>0</v>
      </c>
      <c r="T559" s="120"/>
      <c r="U559" s="120"/>
      <c r="V559" s="107"/>
      <c r="W559" s="120"/>
      <c r="X559" s="120"/>
      <c r="Y559" s="120"/>
      <c r="Z559" s="120"/>
      <c r="AA559" s="120"/>
      <c r="AB559" s="19"/>
      <c r="AC559" s="133"/>
    </row>
    <row r="560" spans="1:29" ht="13" x14ac:dyDescent="0.3">
      <c r="A560" s="57" t="s">
        <v>172</v>
      </c>
      <c r="B560" s="111">
        <f>IF(AND('AES Indiana Sep 23 Bill Calc.'!$D$17="PL",'AES Indiana Sep 23 Bill Calc.'!$D$18="No",'AES Indiana Sep 23 Bill Calc.'!$D$20="Yes 2019"),'AES Indiana Sep 23 Bill Calc.'!$D$19,-1)</f>
        <v>-1</v>
      </c>
      <c r="C560" s="111">
        <f>MAX(E560,$C$516)</f>
        <v>500</v>
      </c>
      <c r="D560" s="111" t="b">
        <f>IF(AND('AES Indiana Sep 23 Bill Calc.'!$D$17="PL",'AES Indiana Sep 23 Bill Calc.'!$D$18="No",'AES Indiana Sep 23 Bill Calc.'!$D$20="Yes 2019"),'AES Indiana Sep 23 Bill Calc.'!$D$22)</f>
        <v>0</v>
      </c>
      <c r="E560" s="111" t="b">
        <f>IF(AND('AES Indiana Sep 23 Bill Calc.'!$D$17="PL",'AES Indiana Sep 23 Bill Calc.'!$D$18="No",'AES Indiana Sep 23 Bill Calc.'!$D$20="Yes 2019"),'AES Indiana Sep 23 Bill Calc.'!$D$21)</f>
        <v>0</v>
      </c>
      <c r="F560" s="37" t="s">
        <v>147</v>
      </c>
      <c r="G560" s="43" t="e">
        <f>SUM(J560:M560,R560:AA560)</f>
        <v>#N/A</v>
      </c>
      <c r="H560" s="19" t="e">
        <f>IF(ISBLANK(B560),0,+#REF!/B560)</f>
        <v>#REF!</v>
      </c>
      <c r="I560" s="19"/>
      <c r="J560" s="108">
        <f>IF(ISBLANK(B560),0,+J$517)</f>
        <v>118.2</v>
      </c>
      <c r="K560" s="43">
        <f>ROUND($B560*K$517,2)</f>
        <v>-0.04</v>
      </c>
      <c r="L560" s="113">
        <f>IF($C560&gt;L$518,ROUND(L$518*L$517,2),ROUND($C560*L$517,2))</f>
        <v>11440</v>
      </c>
      <c r="M560" s="113">
        <f>IF($C560&gt;L$518,ROUND(($C560-L$518)*M$517,2),0)</f>
        <v>0</v>
      </c>
      <c r="N560" s="113">
        <f>K560</f>
        <v>-0.04</v>
      </c>
      <c r="O560" s="43"/>
      <c r="P560" s="43"/>
      <c r="Q560" s="113">
        <f>SUM(L560:M560)</f>
        <v>11440</v>
      </c>
      <c r="R560" s="101" t="e">
        <f>ROUND(SUM(K560:M560)*(R559-1),2)</f>
        <v>#N/A</v>
      </c>
      <c r="S560" s="43">
        <f>ROUND($B560*S$517*S559,2)</f>
        <v>0</v>
      </c>
      <c r="T560" s="43">
        <f>ROUND($B560*T$517,2)</f>
        <v>0</v>
      </c>
      <c r="U560" s="43">
        <f>ROUND($B560*U$517,2)</f>
        <v>0</v>
      </c>
      <c r="V560" s="107">
        <f>ROUND($B560*V$512,2)</f>
        <v>0</v>
      </c>
      <c r="W560" s="43">
        <f>ROUND($B560*W$517,2)</f>
        <v>0</v>
      </c>
      <c r="X560" s="43">
        <f>ROUND($B560*X$517,2)</f>
        <v>0</v>
      </c>
      <c r="Y560" s="43">
        <f>ROUND($B560*Y$517,2)</f>
        <v>0</v>
      </c>
      <c r="Z560" s="43">
        <f>ROUND($B560*Z$517,2)</f>
        <v>0</v>
      </c>
      <c r="AA560" s="43">
        <f>ROUND($B560*AA$517,2)</f>
        <v>0</v>
      </c>
      <c r="AB560" s="19">
        <f>SUM(U$517:AA$517)+(-V$517+V522)</f>
        <v>-7.6239999999999988E-3</v>
      </c>
      <c r="AC560" s="115" t="str">
        <f>+F560</f>
        <v>PL9</v>
      </c>
    </row>
    <row r="561" spans="1:44" ht="13" x14ac:dyDescent="0.3">
      <c r="A561" s="56"/>
      <c r="B561" s="128">
        <v>-1</v>
      </c>
      <c r="D561" s="42"/>
      <c r="E561" s="96"/>
      <c r="F561" s="37"/>
      <c r="G561" s="43"/>
      <c r="H561" s="19"/>
      <c r="I561" s="19"/>
      <c r="J561" s="108"/>
      <c r="K561" s="43"/>
      <c r="L561" s="43"/>
      <c r="M561" s="43"/>
      <c r="N561" s="43"/>
      <c r="O561" s="43"/>
      <c r="P561" s="43"/>
      <c r="Q561" s="43"/>
      <c r="R561" s="39" t="e">
        <f>VLOOKUP((D562),'Pwr Factor'!$A$1:$B$52,2)</f>
        <v>#N/A</v>
      </c>
      <c r="S561" s="51">
        <v>1</v>
      </c>
      <c r="T561" s="43"/>
      <c r="U561" s="43"/>
      <c r="V561" s="42"/>
      <c r="W561" s="43"/>
      <c r="X561" s="43"/>
      <c r="Y561" s="43"/>
      <c r="Z561" s="43"/>
      <c r="AA561" s="43"/>
      <c r="AB561" s="19"/>
      <c r="AC561" s="78"/>
    </row>
    <row r="562" spans="1:44" s="21" customFormat="1" ht="13.5" thickBot="1" x14ac:dyDescent="0.35">
      <c r="A562" s="1" t="s">
        <v>73</v>
      </c>
      <c r="B562" s="111">
        <f>IF(AND('AES Indiana Sep 23 Bill Calc.'!$D$17="PL",'AES Indiana Sep 23 Bill Calc.'!$D$18="Yes 100%",'AES Indiana Sep 23 Bill Calc.'!$D$20="Yes 2020"),'AES Indiana Sep 23 Bill Calc.'!$D$19,-1)</f>
        <v>-1</v>
      </c>
      <c r="C562" s="111">
        <f>MAX(E562,$C$516)</f>
        <v>500</v>
      </c>
      <c r="D562" s="111" t="b">
        <f>IF(AND('AES Indiana Sep 23 Bill Calc.'!$D$17="PL",'AES Indiana Sep 23 Bill Calc.'!$D$18="Yes 100%",'AES Indiana Sep 23 Bill Calc.'!$D$20="Yes 2020"),'AES Indiana Sep 23 Bill Calc.'!$D$22)</f>
        <v>0</v>
      </c>
      <c r="E562" s="111" t="b">
        <f>IF(AND('AES Indiana Sep 23 Bill Calc.'!$D$17="PL",'AES Indiana Sep 23 Bill Calc.'!$D$18="Yes 100%",'AES Indiana Sep 23 Bill Calc.'!$D$20="Yes 2020"),'AES Indiana Sep 23 Bill Calc.'!$D$21)</f>
        <v>0</v>
      </c>
      <c r="F562" s="37" t="s">
        <v>148</v>
      </c>
      <c r="G562" s="43" t="e">
        <f>SUM(J562:M562,R562:AA562)</f>
        <v>#N/A</v>
      </c>
      <c r="H562" s="19" t="e">
        <f>IF(ISBLANK(B562),0,+#REF!/B562)</f>
        <v>#REF!</v>
      </c>
      <c r="I562" s="19"/>
      <c r="J562" s="108">
        <f>IF(ISBLANK(B562),0,+J$517)</f>
        <v>118.2</v>
      </c>
      <c r="K562" s="43">
        <f>ROUND($B562*K$517,2)</f>
        <v>-0.04</v>
      </c>
      <c r="L562" s="113">
        <f>IF($C562&gt;L$518,ROUND(L$518*L$517,2),ROUND($C562*L$517,2))</f>
        <v>11440</v>
      </c>
      <c r="M562" s="113">
        <f>IF($C562&gt;L$518,ROUND(($C562-L$518)*M$517,2),0)</f>
        <v>0</v>
      </c>
      <c r="N562" s="113">
        <f>K562</f>
        <v>-0.04</v>
      </c>
      <c r="O562" s="43"/>
      <c r="P562" s="43"/>
      <c r="Q562" s="113">
        <f>SUM(L562:M562)</f>
        <v>11440</v>
      </c>
      <c r="R562" s="101" t="e">
        <f>ROUND(SUM(K562:M562)*(R561-1),2)</f>
        <v>#N/A</v>
      </c>
      <c r="S562" s="43">
        <f>ROUND($B562*S$517*S561,2)</f>
        <v>0</v>
      </c>
      <c r="T562" s="43">
        <f>ROUND($B562*T$517,2)</f>
        <v>0</v>
      </c>
      <c r="U562" s="43">
        <f>ROUND($B562*U$517,2)</f>
        <v>0</v>
      </c>
      <c r="V562" s="42">
        <f>ROUND($B562*V$513,2)</f>
        <v>0</v>
      </c>
      <c r="W562" s="43">
        <f>ROUND($B562*W$517,2)</f>
        <v>0</v>
      </c>
      <c r="X562" s="43">
        <f>ROUND($B562*X$517,2)</f>
        <v>0</v>
      </c>
      <c r="Y562" s="43">
        <f>ROUND($B562*Y$517,2)</f>
        <v>0</v>
      </c>
      <c r="Z562" s="43">
        <f>ROUND($B562*Z$517,2)</f>
        <v>0</v>
      </c>
      <c r="AA562" s="43">
        <f>ROUND($B562*AA$517,2)</f>
        <v>0</v>
      </c>
      <c r="AB562" s="19">
        <f>SUM(U$517:AA$517)+(-V$517+V513)</f>
        <v>3.4090000000000006E-3</v>
      </c>
      <c r="AC562" s="115" t="str">
        <f>+F562</f>
        <v>PL0</v>
      </c>
      <c r="AD562"/>
      <c r="AE562"/>
      <c r="AF562"/>
      <c r="AG562"/>
      <c r="AH562"/>
      <c r="AI562"/>
      <c r="AJ562"/>
      <c r="AK562"/>
      <c r="AL562"/>
      <c r="AM562"/>
      <c r="AN562"/>
      <c r="AO562"/>
      <c r="AP562"/>
      <c r="AQ562"/>
      <c r="AR562"/>
    </row>
    <row r="563" spans="1:44" ht="13" x14ac:dyDescent="0.3">
      <c r="A563" s="9"/>
      <c r="B563" s="128">
        <v>-1</v>
      </c>
      <c r="D563" s="42"/>
      <c r="E563" s="96"/>
      <c r="F563" s="37"/>
      <c r="G563" s="43"/>
      <c r="H563" s="19"/>
      <c r="I563" s="19"/>
      <c r="J563" s="108"/>
      <c r="K563" s="43"/>
      <c r="L563" s="43"/>
      <c r="M563" s="43"/>
      <c r="N563" s="43"/>
      <c r="O563" s="43"/>
      <c r="P563" s="43"/>
      <c r="Q563" s="43"/>
      <c r="R563" s="39" t="e">
        <f>VLOOKUP((D564),'Pwr Factor'!$A$1:$B$52,2)</f>
        <v>#N/A</v>
      </c>
      <c r="S563" s="51">
        <v>0.5</v>
      </c>
      <c r="T563" s="43"/>
      <c r="U563" s="43"/>
      <c r="V563" s="42"/>
      <c r="W563" s="43"/>
      <c r="X563" s="43"/>
      <c r="Y563" s="43"/>
      <c r="Z563" s="43"/>
      <c r="AA563" s="43"/>
      <c r="AB563" s="19"/>
      <c r="AC563" s="78"/>
    </row>
    <row r="564" spans="1:44" ht="13" x14ac:dyDescent="0.3">
      <c r="A564" s="57" t="s">
        <v>171</v>
      </c>
      <c r="B564" s="111">
        <f>IF(AND('AES Indiana Sep 23 Bill Calc.'!$D$17="PL",'AES Indiana Sep 23 Bill Calc.'!$D$18="Yes 50%",'AES Indiana Sep 23 Bill Calc.'!$D$20="Yes 2020"),'AES Indiana Sep 23 Bill Calc.'!$D$19,-1)</f>
        <v>-1</v>
      </c>
      <c r="C564" s="111">
        <f>MAX(E564,$C$516)</f>
        <v>500</v>
      </c>
      <c r="D564" s="111" t="b">
        <f>IF(AND('AES Indiana Sep 23 Bill Calc.'!$D$17="PL",'AES Indiana Sep 23 Bill Calc.'!$D$18="Yes 50%",'AES Indiana Sep 23 Bill Calc.'!$D$20="Yes 2020"),'AES Indiana Sep 23 Bill Calc.'!$D$22)</f>
        <v>0</v>
      </c>
      <c r="E564" s="111" t="b">
        <f>IF(AND('AES Indiana Sep 23 Bill Calc.'!$D$17="PL",'AES Indiana Sep 23 Bill Calc.'!$D$18="Yes 50%",'AES Indiana Sep 23 Bill Calc.'!$D$20="Yes 2020"),'AES Indiana Sep 23 Bill Calc.'!$D$21)</f>
        <v>0</v>
      </c>
      <c r="F564" s="37" t="s">
        <v>148</v>
      </c>
      <c r="G564" s="43" t="e">
        <f>SUM(J564:M564,R564:AA564)</f>
        <v>#N/A</v>
      </c>
      <c r="H564" s="19" t="e">
        <f>IF(ISBLANK(B564),0,+#REF!/B564)</f>
        <v>#REF!</v>
      </c>
      <c r="I564" s="19"/>
      <c r="J564" s="108">
        <f>IF(ISBLANK(B564),0,+J$517)</f>
        <v>118.2</v>
      </c>
      <c r="K564" s="43">
        <f>ROUND($B564*K$517,2)</f>
        <v>-0.04</v>
      </c>
      <c r="L564" s="113">
        <f>IF($C564&gt;L$518,ROUND(L$518*L$517,2),ROUND($C564*L$517,2))</f>
        <v>11440</v>
      </c>
      <c r="M564" s="113">
        <f>IF($C564&gt;L$518,ROUND(($C564-L$518)*M$517,2),0)</f>
        <v>0</v>
      </c>
      <c r="N564" s="113">
        <f>K564</f>
        <v>-0.04</v>
      </c>
      <c r="O564" s="43"/>
      <c r="P564" s="43"/>
      <c r="Q564" s="113">
        <f>SUM(L564:M564)</f>
        <v>11440</v>
      </c>
      <c r="R564" s="101" t="e">
        <f>ROUND(SUM(K564:M564)*(R563-1),2)</f>
        <v>#N/A</v>
      </c>
      <c r="S564" s="43">
        <f>ROUND($B564*S$517*S563,2)</f>
        <v>0</v>
      </c>
      <c r="T564" s="43">
        <f>ROUND($B564*T$517,2)</f>
        <v>0</v>
      </c>
      <c r="U564" s="43">
        <f>ROUND($B564*U$517,2)</f>
        <v>0</v>
      </c>
      <c r="V564" s="42">
        <f>ROUND($B564*V$513,2)</f>
        <v>0</v>
      </c>
      <c r="W564" s="43">
        <f>ROUND($B564*W$517,2)</f>
        <v>0</v>
      </c>
      <c r="X564" s="43">
        <f>ROUND($B564*X$517,2)</f>
        <v>0</v>
      </c>
      <c r="Y564" s="43">
        <f>ROUND($B564*Y$517,2)</f>
        <v>0</v>
      </c>
      <c r="Z564" s="43">
        <f>ROUND($B564*Z$517,2)</f>
        <v>0</v>
      </c>
      <c r="AA564" s="43">
        <f>ROUND($B564*AA$517,2)</f>
        <v>0</v>
      </c>
      <c r="AB564" s="19">
        <f>SUM(U$517:AA$517)+(-V$517+V515)</f>
        <v>2.3760000000000005E-3</v>
      </c>
      <c r="AC564" s="115" t="str">
        <f>+F564</f>
        <v>PL0</v>
      </c>
    </row>
    <row r="565" spans="1:44" ht="13" x14ac:dyDescent="0.3">
      <c r="A565" s="9"/>
      <c r="B565" s="128">
        <v>-1</v>
      </c>
      <c r="D565" s="42"/>
      <c r="E565" s="96"/>
      <c r="F565" s="37"/>
      <c r="G565" s="43"/>
      <c r="H565" s="19"/>
      <c r="I565" s="19"/>
      <c r="J565" s="108"/>
      <c r="K565" s="43"/>
      <c r="L565" s="43"/>
      <c r="M565" s="43"/>
      <c r="N565" s="43"/>
      <c r="O565" s="43"/>
      <c r="P565" s="43"/>
      <c r="Q565" s="43"/>
      <c r="R565" s="39" t="e">
        <f>VLOOKUP((D566),'Pwr Factor'!$A$1:$B$52,2)</f>
        <v>#N/A</v>
      </c>
      <c r="S565" s="51">
        <v>0.25</v>
      </c>
      <c r="T565" s="43"/>
      <c r="U565" s="43"/>
      <c r="V565" s="42"/>
      <c r="W565" s="43"/>
      <c r="X565" s="43"/>
      <c r="Y565" s="43"/>
      <c r="Z565" s="43"/>
      <c r="AA565" s="43"/>
      <c r="AB565" s="19"/>
      <c r="AC565" s="78"/>
    </row>
    <row r="566" spans="1:44" ht="13" x14ac:dyDescent="0.3">
      <c r="A566" s="57" t="s">
        <v>158</v>
      </c>
      <c r="B566" s="111">
        <f>IF(AND('AES Indiana Sep 23 Bill Calc.'!$D$17="PL",'AES Indiana Sep 23 Bill Calc.'!$D$18="Yes 25%",'AES Indiana Sep 23 Bill Calc.'!$D$20="Yes 2020"),'AES Indiana Sep 23 Bill Calc.'!$D$19,-1)</f>
        <v>-1</v>
      </c>
      <c r="C566" s="111">
        <f>MAX(E566,$C$516)</f>
        <v>500</v>
      </c>
      <c r="D566" s="111" t="b">
        <f>IF(AND('AES Indiana Sep 23 Bill Calc.'!$D$17="PL",'AES Indiana Sep 23 Bill Calc.'!$D$18="Yes 25%",'AES Indiana Sep 23 Bill Calc.'!$D$20="Yes 2020"),'AES Indiana Sep 23 Bill Calc.'!$D$22)</f>
        <v>0</v>
      </c>
      <c r="E566" s="111" t="b">
        <f>IF(AND('AES Indiana Sep 23 Bill Calc.'!$D$17="PL",'AES Indiana Sep 23 Bill Calc.'!$D$18="Yes 25%",'AES Indiana Sep 23 Bill Calc.'!$D$20="Yes 2020"),'AES Indiana Sep 23 Bill Calc.'!$D$21)</f>
        <v>0</v>
      </c>
      <c r="F566" s="37" t="s">
        <v>148</v>
      </c>
      <c r="G566" s="43" t="e">
        <f>SUM(J566:M566,R566:AA566)</f>
        <v>#N/A</v>
      </c>
      <c r="H566" s="19" t="e">
        <f>IF(ISBLANK(B566),0,+#REF!/B566)</f>
        <v>#REF!</v>
      </c>
      <c r="I566" s="19"/>
      <c r="J566" s="108">
        <f>IF(ISBLANK(B566),0,+J$517)</f>
        <v>118.2</v>
      </c>
      <c r="K566" s="43">
        <f>ROUND($B566*K$517,2)</f>
        <v>-0.04</v>
      </c>
      <c r="L566" s="113">
        <f>IF($C566&gt;L$518,ROUND(L$518*L$517,2),ROUND($C566*L$517,2))</f>
        <v>11440</v>
      </c>
      <c r="M566" s="113">
        <f>IF($C566&gt;L$518,ROUND(($C566-L$518)*M$517,2),0)</f>
        <v>0</v>
      </c>
      <c r="N566" s="113">
        <f>K566</f>
        <v>-0.04</v>
      </c>
      <c r="O566" s="43"/>
      <c r="P566" s="43"/>
      <c r="Q566" s="113">
        <f>SUM(L566:M566)</f>
        <v>11440</v>
      </c>
      <c r="R566" s="101" t="e">
        <f>ROUND(SUM(K566:M566)*(R565-1),2)</f>
        <v>#N/A</v>
      </c>
      <c r="S566" s="43">
        <f>ROUND($B566*S$517*S565,2)</f>
        <v>0</v>
      </c>
      <c r="T566" s="43">
        <f>ROUND($B566*T$517,2)</f>
        <v>0</v>
      </c>
      <c r="U566" s="43">
        <f>ROUND($B566*U$517,2)</f>
        <v>0</v>
      </c>
      <c r="V566" s="42">
        <f>ROUND($B566*V$513,2)</f>
        <v>0</v>
      </c>
      <c r="W566" s="43">
        <f>ROUND($B566*W$517,2)</f>
        <v>0</v>
      </c>
      <c r="X566" s="43">
        <f>ROUND($B566*X$517,2)</f>
        <v>0</v>
      </c>
      <c r="Y566" s="43">
        <f>ROUND($B566*Y$517,2)</f>
        <v>0</v>
      </c>
      <c r="Z566" s="43">
        <f>ROUND($B566*Z$517,2)</f>
        <v>0</v>
      </c>
      <c r="AA566" s="43">
        <f>ROUND($B566*AA$517,2)</f>
        <v>0</v>
      </c>
      <c r="AB566" s="19">
        <f>SUM(U$517:AA$517)+(-V$517+V518)</f>
        <v>2.3760000000000005E-3</v>
      </c>
      <c r="AC566" s="115" t="str">
        <f>+F566</f>
        <v>PL0</v>
      </c>
    </row>
    <row r="567" spans="1:44" ht="13" x14ac:dyDescent="0.3">
      <c r="A567" s="9"/>
      <c r="B567" s="128">
        <v>-1</v>
      </c>
      <c r="D567" s="42"/>
      <c r="E567" s="96"/>
      <c r="F567" s="37"/>
      <c r="G567" s="43"/>
      <c r="H567" s="19"/>
      <c r="I567" s="19"/>
      <c r="J567" s="108"/>
      <c r="K567" s="43"/>
      <c r="L567" s="43"/>
      <c r="M567" s="43"/>
      <c r="N567" s="43"/>
      <c r="O567" s="43"/>
      <c r="P567" s="43"/>
      <c r="Q567" s="43"/>
      <c r="R567" s="39" t="e">
        <f>VLOOKUP((D568),'Pwr Factor'!$A$1:$B$52,2)</f>
        <v>#N/A</v>
      </c>
      <c r="S567" s="51">
        <v>0.1</v>
      </c>
      <c r="T567" s="43"/>
      <c r="U567" s="43"/>
      <c r="V567" s="42"/>
      <c r="W567" s="43"/>
      <c r="X567" s="43"/>
      <c r="Y567" s="43"/>
      <c r="Z567" s="43"/>
      <c r="AA567" s="43"/>
      <c r="AB567" s="19"/>
      <c r="AC567" s="78"/>
    </row>
    <row r="568" spans="1:44" ht="13" x14ac:dyDescent="0.3">
      <c r="A568" s="57" t="s">
        <v>173</v>
      </c>
      <c r="B568" s="111">
        <f>IF(AND('AES Indiana Sep 23 Bill Calc.'!$D$17="PL",'AES Indiana Sep 23 Bill Calc.'!$D$18="Yes 10%",'AES Indiana Sep 23 Bill Calc.'!$D$20="Yes 2020"),'AES Indiana Sep 23 Bill Calc.'!$D$19,-1)</f>
        <v>-1</v>
      </c>
      <c r="C568" s="111">
        <f>MAX(E568,$C$516)</f>
        <v>500</v>
      </c>
      <c r="D568" s="111" t="b">
        <f>IF(AND('AES Indiana Sep 23 Bill Calc.'!$D$17="PL",'AES Indiana Sep 23 Bill Calc.'!$D$18="Yes 10%",'AES Indiana Sep 23 Bill Calc.'!$D$20="Yes 2020"),'AES Indiana Sep 23 Bill Calc.'!$D$22)</f>
        <v>0</v>
      </c>
      <c r="E568" s="111" t="b">
        <f>IF(AND('AES Indiana Sep 23 Bill Calc.'!$D$17="PL",'AES Indiana Sep 23 Bill Calc.'!$D$18="Yes 10%",'AES Indiana Sep 23 Bill Calc.'!$D$20="Yes 2020"),'AES Indiana Sep 23 Bill Calc.'!$D$21)</f>
        <v>0</v>
      </c>
      <c r="F568" s="37" t="s">
        <v>148</v>
      </c>
      <c r="G568" s="43" t="e">
        <f>SUM(J568:M568,R568:AA568)</f>
        <v>#N/A</v>
      </c>
      <c r="H568" s="19" t="e">
        <f>IF(ISBLANK(B568),0,+#REF!/B568)</f>
        <v>#REF!</v>
      </c>
      <c r="I568" s="19"/>
      <c r="J568" s="108">
        <f>IF(ISBLANK(B568),0,+J$517)</f>
        <v>118.2</v>
      </c>
      <c r="K568" s="43">
        <f>ROUND($B568*K$517,2)</f>
        <v>-0.04</v>
      </c>
      <c r="L568" s="113">
        <f>IF($C568&gt;L$518,ROUND(L$518*L$517,2),ROUND($C568*L$517,2))</f>
        <v>11440</v>
      </c>
      <c r="M568" s="113">
        <f>IF($C568&gt;L$518,ROUND(($C568-L$518)*M$517,2),0)</f>
        <v>0</v>
      </c>
      <c r="N568" s="113">
        <f>K568</f>
        <v>-0.04</v>
      </c>
      <c r="O568" s="43"/>
      <c r="P568" s="43"/>
      <c r="Q568" s="113">
        <f>SUM(L568:M568)</f>
        <v>11440</v>
      </c>
      <c r="R568" s="101" t="e">
        <f>ROUND(SUM(K568:M568)*(R567-1),2)</f>
        <v>#N/A</v>
      </c>
      <c r="S568" s="43">
        <f>ROUND($B568*S$517*S567,2)</f>
        <v>0</v>
      </c>
      <c r="T568" s="43">
        <f>ROUND($B568*T$517,2)</f>
        <v>0</v>
      </c>
      <c r="U568" s="43">
        <f>ROUND($B568*U$517,2)</f>
        <v>0</v>
      </c>
      <c r="V568" s="42">
        <f>ROUND($B568*V$513,2)</f>
        <v>0</v>
      </c>
      <c r="W568" s="43">
        <f>ROUND($B568*W$517,2)</f>
        <v>0</v>
      </c>
      <c r="X568" s="43">
        <f>ROUND($B568*X$517,2)</f>
        <v>0</v>
      </c>
      <c r="Y568" s="43">
        <f>ROUND($B568*Y$517,2)</f>
        <v>0</v>
      </c>
      <c r="Z568" s="43">
        <f>ROUND($B568*Z$517,2)</f>
        <v>0</v>
      </c>
      <c r="AA568" s="43">
        <f>ROUND($B568*AA$517,2)</f>
        <v>0</v>
      </c>
      <c r="AB568" s="19" t="e">
        <f>SUM(U$517:AA$517)+(-V$517+V520)</f>
        <v>#VALUE!</v>
      </c>
      <c r="AC568" s="115" t="str">
        <f>+F568</f>
        <v>PL0</v>
      </c>
    </row>
    <row r="569" spans="1:44" ht="13" x14ac:dyDescent="0.3">
      <c r="A569" s="9"/>
      <c r="B569" s="128">
        <v>-1</v>
      </c>
      <c r="D569" s="42"/>
      <c r="E569" s="96"/>
      <c r="F569" s="37"/>
      <c r="G569" s="43"/>
      <c r="H569" s="19"/>
      <c r="I569" s="19"/>
      <c r="J569" s="108"/>
      <c r="K569" s="43"/>
      <c r="L569" s="43"/>
      <c r="M569" s="43"/>
      <c r="N569" s="43"/>
      <c r="O569" s="43"/>
      <c r="P569" s="43"/>
      <c r="Q569" s="43"/>
      <c r="R569" s="39" t="e">
        <f>VLOOKUP((D570),'Pwr Factor'!$A$1:$B$52,2)</f>
        <v>#N/A</v>
      </c>
      <c r="S569" s="51">
        <v>0</v>
      </c>
      <c r="T569" s="43"/>
      <c r="U569" s="43"/>
      <c r="V569" s="42"/>
      <c r="W569" s="43"/>
      <c r="X569" s="43"/>
      <c r="Y569" s="43"/>
      <c r="Z569" s="43"/>
      <c r="AA569" s="43"/>
      <c r="AB569" s="19"/>
      <c r="AC569" s="78"/>
    </row>
    <row r="570" spans="1:44" ht="13" x14ac:dyDescent="0.3">
      <c r="A570" s="57" t="s">
        <v>172</v>
      </c>
      <c r="B570" s="111">
        <f>IF(AND('AES Indiana Sep 23 Bill Calc.'!$D$17="PL",'AES Indiana Sep 23 Bill Calc.'!$D$18="No",'AES Indiana Sep 23 Bill Calc.'!$D$20="Yes 2020"),'AES Indiana Sep 23 Bill Calc.'!$D$19,-1)</f>
        <v>-1</v>
      </c>
      <c r="C570" s="111">
        <f>MAX(E570,$C$516)</f>
        <v>500</v>
      </c>
      <c r="D570" s="111" t="b">
        <f>IF(AND('AES Indiana Sep 23 Bill Calc.'!$D$17="PL",'AES Indiana Sep 23 Bill Calc.'!$D$18="No",'AES Indiana Sep 23 Bill Calc.'!$D$20="Yes 2020"),'AES Indiana Sep 23 Bill Calc.'!$D$22)</f>
        <v>0</v>
      </c>
      <c r="E570" s="111" t="b">
        <f>IF(AND('AES Indiana Sep 23 Bill Calc.'!$D$17="PL",'AES Indiana Sep 23 Bill Calc.'!$D$18="No",'AES Indiana Sep 23 Bill Calc.'!$D$20="Yes 2020"),'AES Indiana Sep 23 Bill Calc.'!$D$21)</f>
        <v>0</v>
      </c>
      <c r="F570" s="37" t="s">
        <v>148</v>
      </c>
      <c r="G570" s="43" t="e">
        <f>SUM(J570:M570,R570:AA570)</f>
        <v>#N/A</v>
      </c>
      <c r="H570" s="19" t="e">
        <f>IF(ISBLANK(B570),0,+#REF!/B570)</f>
        <v>#REF!</v>
      </c>
      <c r="I570" s="19"/>
      <c r="J570" s="108">
        <f>IF(ISBLANK(B570),0,+J$517)</f>
        <v>118.2</v>
      </c>
      <c r="K570" s="43">
        <f>ROUND($B570*K$517,2)</f>
        <v>-0.04</v>
      </c>
      <c r="L570" s="113">
        <f>IF($C570&gt;L$518,ROUND(L$518*L$517,2),ROUND($C570*L$517,2))</f>
        <v>11440</v>
      </c>
      <c r="M570" s="113">
        <f>IF($C570&gt;L$518,ROUND(($C570-L$518)*M$517,2),0)</f>
        <v>0</v>
      </c>
      <c r="N570" s="113">
        <f>K570</f>
        <v>-0.04</v>
      </c>
      <c r="O570" s="43"/>
      <c r="P570" s="43"/>
      <c r="Q570" s="113">
        <f>SUM(L570:M570)</f>
        <v>11440</v>
      </c>
      <c r="R570" s="101" t="e">
        <f>ROUND(SUM(K570:M570)*(R569-1),2)</f>
        <v>#N/A</v>
      </c>
      <c r="S570" s="43">
        <f>ROUND($B570*S$517*S569,2)</f>
        <v>0</v>
      </c>
      <c r="T570" s="43">
        <f>ROUND($B570*T$517,2)</f>
        <v>0</v>
      </c>
      <c r="U570" s="43">
        <f>ROUND($B570*U$517,2)</f>
        <v>0</v>
      </c>
      <c r="V570" s="42">
        <f>ROUND($B570*V$513,2)</f>
        <v>0</v>
      </c>
      <c r="W570" s="43">
        <f>ROUND($B570*W$517,2)</f>
        <v>0</v>
      </c>
      <c r="X570" s="43">
        <f>ROUND($B570*X$517,2)</f>
        <v>0</v>
      </c>
      <c r="Y570" s="43">
        <f>ROUND($B570*Y$517,2)</f>
        <v>0</v>
      </c>
      <c r="Z570" s="43">
        <f>ROUND($B570*Z$517,2)</f>
        <v>0</v>
      </c>
      <c r="AA570" s="43">
        <f>ROUND($B570*AA$517,2)</f>
        <v>0</v>
      </c>
      <c r="AB570" s="19">
        <f>SUM(U$517:AA$517)+(-V$517+V522)</f>
        <v>-7.6239999999999988E-3</v>
      </c>
      <c r="AC570" s="115" t="str">
        <f>+F570</f>
        <v>PL0</v>
      </c>
    </row>
    <row r="571" spans="1:44" ht="13" x14ac:dyDescent="0.3">
      <c r="B571" s="128">
        <v>-1</v>
      </c>
      <c r="D571" s="42"/>
      <c r="E571" s="96"/>
      <c r="F571" s="37"/>
      <c r="G571" s="43"/>
      <c r="H571" s="19"/>
      <c r="I571" s="19"/>
      <c r="J571" s="108"/>
      <c r="K571" s="43"/>
      <c r="L571" s="43"/>
      <c r="M571" s="43"/>
      <c r="N571" s="43"/>
      <c r="O571" s="43"/>
      <c r="P571" s="43"/>
      <c r="Q571" s="43"/>
      <c r="R571" s="39" t="e">
        <f>VLOOKUP((D572),'Pwr Factor'!$A$1:$B$52,2)</f>
        <v>#N/A</v>
      </c>
      <c r="S571" s="51">
        <v>1</v>
      </c>
      <c r="T571" s="43"/>
      <c r="U571" s="43"/>
      <c r="V571" s="42"/>
      <c r="W571" s="43"/>
      <c r="X571" s="43"/>
      <c r="Y571" s="43"/>
      <c r="Z571" s="43"/>
      <c r="AA571" s="43"/>
      <c r="AB571" s="19"/>
      <c r="AC571" s="115"/>
    </row>
    <row r="572" spans="1:44" ht="13" x14ac:dyDescent="0.3">
      <c r="A572" s="1" t="s">
        <v>73</v>
      </c>
      <c r="B572" s="111">
        <f>IF(AND('AES Indiana Sep 23 Bill Calc.'!$D$17="PL",'AES Indiana Sep 23 Bill Calc.'!$D$18="Yes 100%",'AES Indiana Sep 23 Bill Calc.'!$D$20="Yes 2021"),'AES Indiana Sep 23 Bill Calc.'!$D$19,-1)</f>
        <v>-1</v>
      </c>
      <c r="C572" s="111">
        <f>MAX(E572,$C$516)</f>
        <v>500</v>
      </c>
      <c r="D572" s="111" t="b">
        <f>IF(AND('AES Indiana Sep 23 Bill Calc.'!$D$17="PL",'AES Indiana Sep 23 Bill Calc.'!$D$18="Yes 100%",'AES Indiana Sep 23 Bill Calc.'!$D$20="Yes 2021"),'AES Indiana Sep 23 Bill Calc.'!$D$22)</f>
        <v>0</v>
      </c>
      <c r="E572" s="111" t="b">
        <f>IF(AND('AES Indiana Sep 23 Bill Calc.'!$D$17="PL",'AES Indiana Sep 23 Bill Calc.'!$D$18="Yes 100%",'AES Indiana Sep 23 Bill Calc.'!$D$20="Yes 2021"),'AES Indiana Sep 23 Bill Calc.'!$D$21)</f>
        <v>0</v>
      </c>
      <c r="F572" s="37" t="s">
        <v>167</v>
      </c>
      <c r="G572" s="43" t="e">
        <f>SUM(J572:M572,R572:AA572)</f>
        <v>#N/A</v>
      </c>
      <c r="H572" s="19" t="e">
        <f>IF(ISBLANK(B572),0,+#REF!/B572)</f>
        <v>#REF!</v>
      </c>
      <c r="I572" s="19"/>
      <c r="J572" s="108">
        <f>IF(ISBLANK(B572),0,+J$517)</f>
        <v>118.2</v>
      </c>
      <c r="K572" s="43">
        <f>ROUND($B572*K$517,2)</f>
        <v>-0.04</v>
      </c>
      <c r="L572" s="113">
        <f>IF($C572&gt;L$518,ROUND(L$518*L$517,2),ROUND($C572*L$517,2))</f>
        <v>11440</v>
      </c>
      <c r="M572" s="113">
        <f>IF($C572&gt;L$518,ROUND(($C572-L$518)*M$517,2),0)</f>
        <v>0</v>
      </c>
      <c r="N572" s="113">
        <f>K572</f>
        <v>-0.04</v>
      </c>
      <c r="O572" s="43"/>
      <c r="P572" s="43"/>
      <c r="Q572" s="113">
        <f>SUM(L572:M572)</f>
        <v>11440</v>
      </c>
      <c r="R572" s="101" t="e">
        <f>ROUND(SUM(K572:M572)*(R571-1),2)</f>
        <v>#N/A</v>
      </c>
      <c r="S572" s="43">
        <f>ROUND($B572*S$517*S571,2)</f>
        <v>0</v>
      </c>
      <c r="T572" s="43">
        <f>ROUND($B572*T$517,2)</f>
        <v>0</v>
      </c>
      <c r="U572" s="43">
        <f>ROUND($B572*U$517,2)</f>
        <v>0</v>
      </c>
      <c r="V572" s="42">
        <f>ROUND($B572*V$514,2)</f>
        <v>0</v>
      </c>
      <c r="W572" s="43">
        <f>ROUND($B572*W$517,2)</f>
        <v>0</v>
      </c>
      <c r="X572" s="43">
        <f>ROUND($B572*X$517,2)</f>
        <v>0</v>
      </c>
      <c r="Y572" s="43">
        <f>ROUND($B572*Y$517,2)</f>
        <v>0</v>
      </c>
      <c r="Z572" s="43">
        <f>ROUND($B572*Z$517,2)</f>
        <v>0</v>
      </c>
      <c r="AA572" s="43">
        <f>ROUND($B572*AA$517,2)</f>
        <v>0</v>
      </c>
      <c r="AB572" s="19">
        <f>SUM(U$517:AA$517)+(-V$517+V517)</f>
        <v>8.4960000000000001E-3</v>
      </c>
      <c r="AC572" s="115" t="str">
        <f>+F572</f>
        <v>PL1</v>
      </c>
    </row>
    <row r="573" spans="1:44" ht="13" x14ac:dyDescent="0.3">
      <c r="A573" s="9"/>
      <c r="B573" s="128">
        <v>-1</v>
      </c>
      <c r="D573" s="42"/>
      <c r="E573" s="96"/>
      <c r="F573" s="37"/>
      <c r="G573" s="43"/>
      <c r="H573" s="19"/>
      <c r="I573" s="19"/>
      <c r="J573" s="108"/>
      <c r="K573" s="43"/>
      <c r="L573" s="43"/>
      <c r="M573" s="43"/>
      <c r="N573" s="43"/>
      <c r="O573" s="43"/>
      <c r="P573" s="43"/>
      <c r="Q573" s="43"/>
      <c r="R573" s="39" t="e">
        <f>VLOOKUP((D574),'Pwr Factor'!$A$1:$B$52,2)</f>
        <v>#N/A</v>
      </c>
      <c r="S573" s="51">
        <v>0.5</v>
      </c>
      <c r="T573" s="43"/>
      <c r="U573" s="43"/>
      <c r="V573" s="42"/>
      <c r="W573" s="43"/>
      <c r="X573" s="43"/>
      <c r="Y573" s="43"/>
      <c r="Z573" s="43"/>
      <c r="AA573" s="43"/>
      <c r="AB573" s="19"/>
      <c r="AC573" s="115"/>
    </row>
    <row r="574" spans="1:44" ht="13" x14ac:dyDescent="0.3">
      <c r="A574" s="57" t="s">
        <v>171</v>
      </c>
      <c r="B574" s="111">
        <f>IF(AND('AES Indiana Sep 23 Bill Calc.'!$D$17="PL",'AES Indiana Sep 23 Bill Calc.'!$D$18="Yes 50%",'AES Indiana Sep 23 Bill Calc.'!$D$20="Yes 2021"),'AES Indiana Sep 23 Bill Calc.'!$D$19,-1)</f>
        <v>-1</v>
      </c>
      <c r="C574" s="111">
        <f>MAX(E574,$C$516)</f>
        <v>500</v>
      </c>
      <c r="D574" s="111" t="b">
        <f>IF(AND('AES Indiana Sep 23 Bill Calc.'!$D$17="PL",'AES Indiana Sep 23 Bill Calc.'!$D$18="Yes 50%",'AES Indiana Sep 23 Bill Calc.'!$D$20="Yes 2021"),'AES Indiana Sep 23 Bill Calc.'!$D$22)</f>
        <v>0</v>
      </c>
      <c r="E574" s="111" t="b">
        <f>IF(AND('AES Indiana Sep 23 Bill Calc.'!$D$17="PL",'AES Indiana Sep 23 Bill Calc.'!$D$18="Yes 50%",'AES Indiana Sep 23 Bill Calc.'!$D$20="Yes 2021"),'AES Indiana Sep 23 Bill Calc.'!$D$21)</f>
        <v>0</v>
      </c>
      <c r="F574" s="37" t="s">
        <v>167</v>
      </c>
      <c r="G574" s="43" t="e">
        <f>SUM(J574:M574,R574:AA574)</f>
        <v>#N/A</v>
      </c>
      <c r="H574" s="19" t="e">
        <f>IF(ISBLANK(B574),0,+#REF!/B574)</f>
        <v>#REF!</v>
      </c>
      <c r="I574" s="19"/>
      <c r="J574" s="108">
        <f>IF(ISBLANK(B574),0,+J$517)</f>
        <v>118.2</v>
      </c>
      <c r="K574" s="43">
        <f>ROUND($B574*K$517,2)</f>
        <v>-0.04</v>
      </c>
      <c r="L574" s="113">
        <f>IF($C574&gt;L$518,ROUND(L$518*L$517,2),ROUND($C574*L$517,2))</f>
        <v>11440</v>
      </c>
      <c r="M574" s="113">
        <f>IF($C574&gt;L$518,ROUND(($C574-L$518)*M$517,2),0)</f>
        <v>0</v>
      </c>
      <c r="N574" s="113">
        <f>K574</f>
        <v>-0.04</v>
      </c>
      <c r="O574" s="43"/>
      <c r="P574" s="43"/>
      <c r="Q574" s="113">
        <f>SUM(L574:M574)</f>
        <v>11440</v>
      </c>
      <c r="R574" s="101" t="e">
        <f>ROUND(SUM(K574:M574)*(R573-1),2)</f>
        <v>#N/A</v>
      </c>
      <c r="S574" s="43">
        <f>ROUND($B574*S$517*S573,2)</f>
        <v>0</v>
      </c>
      <c r="T574" s="43">
        <f>ROUND($B574*T$517,2)</f>
        <v>0</v>
      </c>
      <c r="U574" s="43">
        <f>ROUND($B574*U$517,2)</f>
        <v>0</v>
      </c>
      <c r="V574" s="42">
        <f>ROUND($B574*V$514,2)</f>
        <v>0</v>
      </c>
      <c r="W574" s="43">
        <f>ROUND($B574*W$517,2)</f>
        <v>0</v>
      </c>
      <c r="X574" s="43">
        <f>ROUND($B574*X$517,2)</f>
        <v>0</v>
      </c>
      <c r="Y574" s="43">
        <f>ROUND($B574*Y$517,2)</f>
        <v>0</v>
      </c>
      <c r="Z574" s="43">
        <f>ROUND($B574*Z$517,2)</f>
        <v>0</v>
      </c>
      <c r="AA574" s="43">
        <f>ROUND($B574*AA$517,2)</f>
        <v>0</v>
      </c>
      <c r="AB574" s="19">
        <f>SUM(U$517:AA$517)+(-V$517+V519)</f>
        <v>22.002376000000002</v>
      </c>
      <c r="AC574" s="115" t="str">
        <f>+F574</f>
        <v>PL1</v>
      </c>
    </row>
    <row r="575" spans="1:44" ht="13" x14ac:dyDescent="0.3">
      <c r="A575" s="9"/>
      <c r="B575" s="128">
        <v>-1</v>
      </c>
      <c r="D575" s="42"/>
      <c r="E575" s="96"/>
      <c r="F575" s="37"/>
      <c r="G575" s="43"/>
      <c r="H575" s="19"/>
      <c r="I575" s="19"/>
      <c r="J575" s="108"/>
      <c r="K575" s="43"/>
      <c r="L575" s="43"/>
      <c r="M575" s="43"/>
      <c r="N575" s="43"/>
      <c r="O575" s="43"/>
      <c r="P575" s="43"/>
      <c r="Q575" s="43"/>
      <c r="R575" s="39" t="e">
        <f>VLOOKUP((D576),'Pwr Factor'!$A$1:$B$52,2)</f>
        <v>#N/A</v>
      </c>
      <c r="S575" s="51">
        <v>0.25</v>
      </c>
      <c r="T575" s="43"/>
      <c r="U575" s="43"/>
      <c r="V575" s="42"/>
      <c r="W575" s="43"/>
      <c r="X575" s="43"/>
      <c r="Y575" s="43"/>
      <c r="Z575" s="43"/>
      <c r="AA575" s="43"/>
      <c r="AB575" s="19"/>
      <c r="AC575" s="115"/>
    </row>
    <row r="576" spans="1:44" ht="13" x14ac:dyDescent="0.3">
      <c r="A576" s="57" t="s">
        <v>158</v>
      </c>
      <c r="B576" s="111">
        <f>IF(AND('AES Indiana Sep 23 Bill Calc.'!$D$17="PL",'AES Indiana Sep 23 Bill Calc.'!$D$18="Yes 25%",'AES Indiana Sep 23 Bill Calc.'!$D$20="Yes 2021"),'AES Indiana Sep 23 Bill Calc.'!$D$19,-1)</f>
        <v>-1</v>
      </c>
      <c r="C576" s="111">
        <f>MAX(E576,$C$516)</f>
        <v>500</v>
      </c>
      <c r="D576" s="111" t="b">
        <f>IF(AND('AES Indiana Sep 23 Bill Calc.'!$D$17="PL",'AES Indiana Sep 23 Bill Calc.'!$D$18="Yes 25%",'AES Indiana Sep 23 Bill Calc.'!$D$20="Yes 2021"),'AES Indiana Sep 23 Bill Calc.'!$D$22)</f>
        <v>0</v>
      </c>
      <c r="E576" s="111" t="b">
        <f>IF(AND('AES Indiana Sep 23 Bill Calc.'!$D$17="PL",'AES Indiana Sep 23 Bill Calc.'!$D$18="Yes 25%",'AES Indiana Sep 23 Bill Calc.'!$D$20="Yes 2021"),'AES Indiana Sep 23 Bill Calc.'!$D$21)</f>
        <v>0</v>
      </c>
      <c r="F576" s="37" t="s">
        <v>167</v>
      </c>
      <c r="G576" s="43" t="e">
        <f>SUM(J576:M576,R576:AA576)</f>
        <v>#N/A</v>
      </c>
      <c r="H576" s="19" t="e">
        <f>IF(ISBLANK(B576),0,+#REF!/B576)</f>
        <v>#REF!</v>
      </c>
      <c r="I576" s="19"/>
      <c r="J576" s="108">
        <f>IF(ISBLANK(B576),0,+J$517)</f>
        <v>118.2</v>
      </c>
      <c r="K576" s="43">
        <f>ROUND($B576*K$517,2)</f>
        <v>-0.04</v>
      </c>
      <c r="L576" s="113">
        <f>IF($C576&gt;L$518,ROUND(L$518*L$517,2),ROUND($C576*L$517,2))</f>
        <v>11440</v>
      </c>
      <c r="M576" s="113">
        <f>IF($C576&gt;L$518,ROUND(($C576-L$518)*M$517,2),0)</f>
        <v>0</v>
      </c>
      <c r="N576" s="113">
        <f>K576</f>
        <v>-0.04</v>
      </c>
      <c r="O576" s="43"/>
      <c r="P576" s="43"/>
      <c r="Q576" s="113">
        <f>SUM(L576:M576)</f>
        <v>11440</v>
      </c>
      <c r="R576" s="101" t="e">
        <f>ROUND(SUM(K576:M576)*(R575-1),2)</f>
        <v>#N/A</v>
      </c>
      <c r="S576" s="43">
        <f>ROUND($B576*S$517*S575,2)</f>
        <v>0</v>
      </c>
      <c r="T576" s="43">
        <f>ROUND($B576*T$517,2)</f>
        <v>0</v>
      </c>
      <c r="U576" s="43">
        <f>ROUND($B576*U$517,2)</f>
        <v>0</v>
      </c>
      <c r="V576" s="42">
        <f>ROUND($B576*V$514,2)</f>
        <v>0</v>
      </c>
      <c r="W576" s="43">
        <f>ROUND($B576*W$517,2)</f>
        <v>0</v>
      </c>
      <c r="X576" s="43">
        <f>ROUND($B576*X$517,2)</f>
        <v>0</v>
      </c>
      <c r="Y576" s="43">
        <f>ROUND($B576*Y$517,2)</f>
        <v>0</v>
      </c>
      <c r="Z576" s="43">
        <f>ROUND($B576*Z$517,2)</f>
        <v>0</v>
      </c>
      <c r="AA576" s="43">
        <f>ROUND($B576*AA$517,2)</f>
        <v>0</v>
      </c>
      <c r="AB576" s="19">
        <f>SUM(U$517:AA$517)+(-V$517+V521)</f>
        <v>2.3760000000000005E-3</v>
      </c>
      <c r="AC576" s="115" t="str">
        <f>+F576</f>
        <v>PL1</v>
      </c>
    </row>
    <row r="577" spans="1:29" ht="13" x14ac:dyDescent="0.3">
      <c r="A577" s="9"/>
      <c r="B577" s="128">
        <v>-1</v>
      </c>
      <c r="D577" s="42"/>
      <c r="E577" s="96"/>
      <c r="F577" s="37"/>
      <c r="G577" s="43"/>
      <c r="H577" s="19"/>
      <c r="I577" s="19"/>
      <c r="J577" s="108"/>
      <c r="K577" s="43"/>
      <c r="L577" s="43"/>
      <c r="M577" s="43"/>
      <c r="N577" s="43"/>
      <c r="O577" s="43"/>
      <c r="P577" s="43"/>
      <c r="Q577" s="43"/>
      <c r="R577" s="39" t="e">
        <f>VLOOKUP((D578),'Pwr Factor'!$A$1:$B$52,2)</f>
        <v>#N/A</v>
      </c>
      <c r="S577" s="51">
        <v>0.1</v>
      </c>
      <c r="T577" s="43"/>
      <c r="U577" s="43"/>
      <c r="V577" s="42"/>
      <c r="W577" s="43"/>
      <c r="X577" s="43"/>
      <c r="Y577" s="43"/>
      <c r="Z577" s="43"/>
      <c r="AA577" s="43"/>
      <c r="AB577" s="19"/>
      <c r="AC577" s="115"/>
    </row>
    <row r="578" spans="1:29" ht="13" x14ac:dyDescent="0.3">
      <c r="A578" s="57" t="s">
        <v>173</v>
      </c>
      <c r="B578" s="111">
        <f>IF(AND('AES Indiana Sep 23 Bill Calc.'!$D$17="PL",'AES Indiana Sep 23 Bill Calc.'!$D$18="Yes 10%",'AES Indiana Sep 23 Bill Calc.'!$D$20="Yes 2021"),'AES Indiana Sep 23 Bill Calc.'!$D$19,-1)</f>
        <v>-1</v>
      </c>
      <c r="C578" s="111">
        <f>MAX(E578,$C$516)</f>
        <v>500</v>
      </c>
      <c r="D578" s="111" t="b">
        <f>IF(AND('AES Indiana Sep 23 Bill Calc.'!$D$17="PL",'AES Indiana Sep 23 Bill Calc.'!$D$18="Yes 10%",'AES Indiana Sep 23 Bill Calc.'!$D$20="Yes 2021"),'AES Indiana Sep 23 Bill Calc.'!$D$22)</f>
        <v>0</v>
      </c>
      <c r="E578" s="111" t="b">
        <f>IF(AND('AES Indiana Sep 23 Bill Calc.'!$D$17="PL",'AES Indiana Sep 23 Bill Calc.'!$D$18="Yes 10%",'AES Indiana Sep 23 Bill Calc.'!$D$20="Yes 2021"),'AES Indiana Sep 23 Bill Calc.'!$D$21)</f>
        <v>0</v>
      </c>
      <c r="F578" s="37" t="s">
        <v>167</v>
      </c>
      <c r="G578" s="43" t="e">
        <f>SUM(J578:M578,R578:AA578)</f>
        <v>#N/A</v>
      </c>
      <c r="H578" s="19" t="e">
        <f>IF(ISBLANK(B578),0,+#REF!/B578)</f>
        <v>#REF!</v>
      </c>
      <c r="I578" s="19"/>
      <c r="J578" s="108">
        <f>IF(ISBLANK(B578),0,+J$517)</f>
        <v>118.2</v>
      </c>
      <c r="K578" s="43">
        <f>ROUND($B578*K$517,2)</f>
        <v>-0.04</v>
      </c>
      <c r="L578" s="113">
        <f>IF($C578&gt;L$518,ROUND(L$518*L$517,2),ROUND($C578*L$517,2))</f>
        <v>11440</v>
      </c>
      <c r="M578" s="113">
        <f>IF($C578&gt;L$518,ROUND(($C578-L$518)*M$517,2),0)</f>
        <v>0</v>
      </c>
      <c r="N578" s="113">
        <f>K578</f>
        <v>-0.04</v>
      </c>
      <c r="O578" s="43"/>
      <c r="P578" s="43"/>
      <c r="Q578" s="113">
        <f>SUM(L578:M578)</f>
        <v>11440</v>
      </c>
      <c r="R578" s="101" t="e">
        <f>ROUND(SUM(K578:M578)*(R577-1),2)</f>
        <v>#N/A</v>
      </c>
      <c r="S578" s="43">
        <f>ROUND($B578*S$517*S577,2)</f>
        <v>0</v>
      </c>
      <c r="T578" s="43">
        <f>ROUND($B578*T$517,2)</f>
        <v>0</v>
      </c>
      <c r="U578" s="43">
        <f>ROUND($B578*U$517,2)</f>
        <v>0</v>
      </c>
      <c r="V578" s="42">
        <f>ROUND($B578*V$514,2)</f>
        <v>0</v>
      </c>
      <c r="W578" s="43">
        <f>ROUND($B578*W$517,2)</f>
        <v>0</v>
      </c>
      <c r="X578" s="43">
        <f>ROUND($B578*X$517,2)</f>
        <v>0</v>
      </c>
      <c r="Y578" s="43">
        <f>ROUND($B578*Y$517,2)</f>
        <v>0</v>
      </c>
      <c r="Z578" s="43">
        <f>ROUND($B578*Z$517,2)</f>
        <v>0</v>
      </c>
      <c r="AA578" s="43">
        <f>ROUND($B578*AA$517,2)</f>
        <v>0</v>
      </c>
      <c r="AB578" s="19">
        <f>SUM(U$517:AA$517)+(-V$517+V523)</f>
        <v>2.3760000000000005E-3</v>
      </c>
      <c r="AC578" s="115" t="str">
        <f>+F578</f>
        <v>PL1</v>
      </c>
    </row>
    <row r="579" spans="1:29" ht="13" x14ac:dyDescent="0.3">
      <c r="A579" s="9"/>
      <c r="B579" s="128">
        <v>-1</v>
      </c>
      <c r="D579" s="42"/>
      <c r="E579" s="96"/>
      <c r="F579" s="37"/>
      <c r="G579" s="43"/>
      <c r="H579" s="19"/>
      <c r="I579" s="19"/>
      <c r="J579" s="108"/>
      <c r="K579" s="43"/>
      <c r="L579" s="43"/>
      <c r="M579" s="43"/>
      <c r="N579" s="43"/>
      <c r="O579" s="43"/>
      <c r="P579" s="43"/>
      <c r="Q579" s="43"/>
      <c r="R579" s="39" t="e">
        <f>VLOOKUP((D580),'Pwr Factor'!$A$1:$B$52,2)</f>
        <v>#N/A</v>
      </c>
      <c r="S579" s="51">
        <v>0</v>
      </c>
      <c r="T579" s="43"/>
      <c r="U579" s="43"/>
      <c r="V579" s="42"/>
      <c r="W579" s="43"/>
      <c r="X579" s="43"/>
      <c r="Y579" s="43"/>
      <c r="Z579" s="43"/>
      <c r="AA579" s="43"/>
      <c r="AB579" s="19"/>
      <c r="AC579" s="115"/>
    </row>
    <row r="580" spans="1:29" ht="13" x14ac:dyDescent="0.3">
      <c r="A580" s="57" t="s">
        <v>172</v>
      </c>
      <c r="B580" s="111">
        <f>IF(AND('AES Indiana Sep 23 Bill Calc.'!$D$17="PL",'AES Indiana Sep 23 Bill Calc.'!$D$18="No",'AES Indiana Sep 23 Bill Calc.'!$D$20="Yes 2021"),'AES Indiana Sep 23 Bill Calc.'!$D$19,-1)</f>
        <v>-1</v>
      </c>
      <c r="C580" s="111">
        <f>MAX(E580,$C$516)</f>
        <v>500</v>
      </c>
      <c r="D580" s="111" t="b">
        <f>IF(AND('AES Indiana Sep 23 Bill Calc.'!$D$17="PL",'AES Indiana Sep 23 Bill Calc.'!$D$18="No",'AES Indiana Sep 23 Bill Calc.'!$D$20="Yes 2021"),'AES Indiana Sep 23 Bill Calc.'!$D$22)</f>
        <v>0</v>
      </c>
      <c r="E580" s="111" t="b">
        <f>IF(AND('AES Indiana Sep 23 Bill Calc.'!$D$17="PL",'AES Indiana Sep 23 Bill Calc.'!$D$18="No",'AES Indiana Sep 23 Bill Calc.'!$D$20="Yes 2021"),'AES Indiana Sep 23 Bill Calc.'!$D$21)</f>
        <v>0</v>
      </c>
      <c r="F580" s="37" t="s">
        <v>167</v>
      </c>
      <c r="G580" s="43" t="e">
        <f>SUM(J580:M580,R580:AA580)</f>
        <v>#N/A</v>
      </c>
      <c r="H580" s="19" t="e">
        <f>IF(ISBLANK(B580),0,+#REF!/B580)</f>
        <v>#REF!</v>
      </c>
      <c r="I580" s="19"/>
      <c r="J580" s="108">
        <f>IF(ISBLANK(B580),0,+J$517)</f>
        <v>118.2</v>
      </c>
      <c r="K580" s="43">
        <f>ROUND($B580*K$517,2)</f>
        <v>-0.04</v>
      </c>
      <c r="L580" s="113">
        <f>IF($C580&gt;L$518,ROUND(L$518*L$517,2),ROUND($C580*L$517,2))</f>
        <v>11440</v>
      </c>
      <c r="M580" s="113">
        <f>IF($C580&gt;L$518,ROUND(($C580-L$518)*M$517,2),0)</f>
        <v>0</v>
      </c>
      <c r="N580" s="113">
        <f>K580</f>
        <v>-0.04</v>
      </c>
      <c r="O580" s="43"/>
      <c r="P580" s="43"/>
      <c r="Q580" s="113">
        <f>SUM(L580:M580)</f>
        <v>11440</v>
      </c>
      <c r="R580" s="101" t="e">
        <f>ROUND(SUM(K580:M580)*(R579-1),2)</f>
        <v>#N/A</v>
      </c>
      <c r="S580" s="43">
        <f>ROUND($B580*S$517*S579,2)</f>
        <v>0</v>
      </c>
      <c r="T580" s="43">
        <f>ROUND($B580*T$517,2)</f>
        <v>0</v>
      </c>
      <c r="U580" s="43">
        <f>ROUND($B580*U$517,2)</f>
        <v>0</v>
      </c>
      <c r="V580" s="42">
        <f>ROUND($B580*V$514,2)</f>
        <v>0</v>
      </c>
      <c r="W580" s="43">
        <f>ROUND($B580*W$517,2)</f>
        <v>0</v>
      </c>
      <c r="X580" s="43">
        <f>ROUND($B580*X$517,2)</f>
        <v>0</v>
      </c>
      <c r="Y580" s="43">
        <f>ROUND($B580*Y$517,2)</f>
        <v>0</v>
      </c>
      <c r="Z580" s="43">
        <f>ROUND($B580*Z$517,2)</f>
        <v>0</v>
      </c>
      <c r="AA580" s="43">
        <f>ROUND($B580*AA$517,2)</f>
        <v>0</v>
      </c>
      <c r="AB580" s="19">
        <f>SUM(U$517:AA$517)+(-V$517+V525)</f>
        <v>2.3760000000000005E-3</v>
      </c>
      <c r="AC580" s="115" t="str">
        <f>+F580</f>
        <v>PL1</v>
      </c>
    </row>
    <row r="581" spans="1:29" ht="13" x14ac:dyDescent="0.3">
      <c r="B581" s="128">
        <v>-1</v>
      </c>
      <c r="D581" s="42"/>
      <c r="E581" s="96"/>
      <c r="F581" s="37"/>
      <c r="G581" s="43"/>
      <c r="H581" s="19"/>
      <c r="I581" s="19"/>
      <c r="J581" s="108"/>
      <c r="K581" s="43"/>
      <c r="L581" s="43"/>
      <c r="M581" s="43"/>
      <c r="N581" s="43"/>
      <c r="O581" s="43"/>
      <c r="P581" s="43"/>
      <c r="Q581" s="43"/>
      <c r="R581" s="39" t="e">
        <f>VLOOKUP((D582),'Pwr Factor'!$A$1:$B$52,2)</f>
        <v>#N/A</v>
      </c>
      <c r="S581" s="51">
        <v>1</v>
      </c>
      <c r="T581" s="43"/>
      <c r="U581" s="43"/>
      <c r="V581" s="42"/>
      <c r="W581" s="43"/>
      <c r="X581" s="43"/>
      <c r="Y581" s="43"/>
      <c r="Z581" s="43"/>
      <c r="AA581" s="43"/>
      <c r="AB581" s="19"/>
      <c r="AC581" s="115"/>
    </row>
    <row r="582" spans="1:29" ht="13" x14ac:dyDescent="0.3">
      <c r="A582" s="1" t="s">
        <v>73</v>
      </c>
      <c r="B582" s="111">
        <f>IF(AND('AES Indiana Sep 23 Bill Calc.'!$D$17="PL",'AES Indiana Sep 23 Bill Calc.'!$D$18="Yes 100%",'AES Indiana Sep 23 Bill Calc.'!$D$20="Yes 2022"),'AES Indiana Sep 23 Bill Calc.'!$D$19,-1)</f>
        <v>-1</v>
      </c>
      <c r="C582" s="111">
        <f>MAX(E582,$C$516)</f>
        <v>500</v>
      </c>
      <c r="D582" s="111" t="b">
        <f>IF(AND('AES Indiana Sep 23 Bill Calc.'!$D$17="PL",'AES Indiana Sep 23 Bill Calc.'!$D$18="Yes 100%",'AES Indiana Sep 23 Bill Calc.'!$D$20="Yes 2022"),'AES Indiana Sep 23 Bill Calc.'!$D$22)</f>
        <v>0</v>
      </c>
      <c r="E582" s="111" t="b">
        <f>IF(AND('AES Indiana Sep 23 Bill Calc.'!$D$17="PL",'AES Indiana Sep 23 Bill Calc.'!$D$18="Yes 100%",'AES Indiana Sep 23 Bill Calc.'!$D$20="Yes 2022"),'AES Indiana Sep 23 Bill Calc.'!$D$21)</f>
        <v>0</v>
      </c>
      <c r="F582" s="37" t="s">
        <v>185</v>
      </c>
      <c r="G582" s="43" t="e">
        <f>SUM(J582:M582,R582:AA582)</f>
        <v>#N/A</v>
      </c>
      <c r="H582" s="19" t="e">
        <f>IF(ISBLANK(B582),0,+#REF!/B582)</f>
        <v>#REF!</v>
      </c>
      <c r="I582" s="19"/>
      <c r="J582" s="108">
        <f>IF(ISBLANK(B582),0,+J$517)</f>
        <v>118.2</v>
      </c>
      <c r="K582" s="43">
        <f>ROUND($B582*K$517,2)</f>
        <v>-0.04</v>
      </c>
      <c r="L582" s="113">
        <f>IF($C582&gt;L$518,ROUND(L$518*L$517,2),ROUND($C582*L$517,2))</f>
        <v>11440</v>
      </c>
      <c r="M582" s="113">
        <f>IF($C582&gt;L$518,ROUND(($C582-L$518)*M$517,2),0)</f>
        <v>0</v>
      </c>
      <c r="N582" s="113">
        <f>K582</f>
        <v>-0.04</v>
      </c>
      <c r="O582" s="43"/>
      <c r="P582" s="43"/>
      <c r="Q582" s="113">
        <f>SUM(L582:M582)</f>
        <v>11440</v>
      </c>
      <c r="R582" s="101" t="e">
        <f>ROUND(SUM(K582:M582)*(R581-1),2)</f>
        <v>#N/A</v>
      </c>
      <c r="S582" s="43">
        <f>ROUND($B582*S$517*S581,2)</f>
        <v>0</v>
      </c>
      <c r="T582" s="43">
        <f>ROUND($B582*T$517,2)</f>
        <v>0</v>
      </c>
      <c r="U582" s="43">
        <f>ROUND($B582*U$517,2)</f>
        <v>0</v>
      </c>
      <c r="V582" s="42">
        <f>ROUND($B582*V$515,2)</f>
        <v>0</v>
      </c>
      <c r="W582" s="43">
        <f>ROUND($B582*W$517,2)</f>
        <v>0</v>
      </c>
      <c r="X582" s="43">
        <f>ROUND($B582*X$517,2)</f>
        <v>0</v>
      </c>
      <c r="Y582" s="43">
        <f>ROUND($B582*Y$517,2)</f>
        <v>0</v>
      </c>
      <c r="Z582" s="43">
        <f>ROUND($B582*Z$517,2)</f>
        <v>0</v>
      </c>
      <c r="AA582" s="43">
        <f>ROUND($B582*AA$517,2)</f>
        <v>0</v>
      </c>
      <c r="AB582" s="19">
        <f>SUM(U$517:AA$517)+(-V$517+V527)</f>
        <v>2.3760000000000005E-3</v>
      </c>
      <c r="AC582" s="115" t="str">
        <f>+F582</f>
        <v>PL2</v>
      </c>
    </row>
    <row r="583" spans="1:29" ht="13" x14ac:dyDescent="0.3">
      <c r="A583" s="9"/>
      <c r="B583" s="128">
        <v>-1</v>
      </c>
      <c r="D583" s="42"/>
      <c r="E583" s="96"/>
      <c r="F583" s="37"/>
      <c r="G583" s="43"/>
      <c r="H583" s="19"/>
      <c r="I583" s="19"/>
      <c r="J583" s="108"/>
      <c r="K583" s="43"/>
      <c r="L583" s="43"/>
      <c r="M583" s="43"/>
      <c r="N583" s="43"/>
      <c r="O583" s="43"/>
      <c r="P583" s="43"/>
      <c r="Q583" s="43"/>
      <c r="R583" s="39" t="e">
        <f>VLOOKUP((D584),'Pwr Factor'!$A$1:$B$52,2)</f>
        <v>#N/A</v>
      </c>
      <c r="S583" s="51">
        <v>0.5</v>
      </c>
      <c r="T583" s="43"/>
      <c r="U583" s="43"/>
      <c r="V583" s="42"/>
      <c r="W583" s="43"/>
      <c r="X583" s="43"/>
      <c r="Y583" s="43"/>
      <c r="Z583" s="43"/>
      <c r="AA583" s="43"/>
      <c r="AB583" s="19"/>
      <c r="AC583" s="115"/>
    </row>
    <row r="584" spans="1:29" ht="13" x14ac:dyDescent="0.3">
      <c r="A584" s="57" t="s">
        <v>171</v>
      </c>
      <c r="B584" s="111">
        <f>IF(AND('AES Indiana Sep 23 Bill Calc.'!$D$17="PL",'AES Indiana Sep 23 Bill Calc.'!$D$18="Yes 50%",'AES Indiana Sep 23 Bill Calc.'!$D$20="Yes 2022"),'AES Indiana Sep 23 Bill Calc.'!$D$19,-1)</f>
        <v>-1</v>
      </c>
      <c r="C584" s="111">
        <f>MAX(E584,$C$516)</f>
        <v>500</v>
      </c>
      <c r="D584" s="111" t="b">
        <f>IF(AND('AES Indiana Sep 23 Bill Calc.'!$D$17="PL",'AES Indiana Sep 23 Bill Calc.'!$D$18="Yes 50%",'AES Indiana Sep 23 Bill Calc.'!$D$20="Yes 2022"),'AES Indiana Sep 23 Bill Calc.'!$D$22)</f>
        <v>0</v>
      </c>
      <c r="E584" s="111" t="b">
        <f>IF(AND('AES Indiana Sep 23 Bill Calc.'!$D$17="PL",'AES Indiana Sep 23 Bill Calc.'!$D$18="Yes 50%",'AES Indiana Sep 23 Bill Calc.'!$D$20="Yes 2022"),'AES Indiana Sep 23 Bill Calc.'!$D$21)</f>
        <v>0</v>
      </c>
      <c r="F584" s="37" t="s">
        <v>185</v>
      </c>
      <c r="G584" s="43" t="e">
        <f>SUM(J584:M584,R584:AA584)</f>
        <v>#N/A</v>
      </c>
      <c r="H584" s="19" t="e">
        <f>IF(ISBLANK(B584),0,+#REF!/B584)</f>
        <v>#REF!</v>
      </c>
      <c r="I584" s="19"/>
      <c r="J584" s="108">
        <f>IF(ISBLANK(B584),0,+J$517)</f>
        <v>118.2</v>
      </c>
      <c r="K584" s="43">
        <f>ROUND($B584*K$517,2)</f>
        <v>-0.04</v>
      </c>
      <c r="L584" s="113">
        <f>IF($C584&gt;L$518,ROUND(L$518*L$517,2),ROUND($C584*L$517,2))</f>
        <v>11440</v>
      </c>
      <c r="M584" s="113">
        <f>IF($C584&gt;L$518,ROUND(($C584-L$518)*M$517,2),0)</f>
        <v>0</v>
      </c>
      <c r="N584" s="113">
        <f>K584</f>
        <v>-0.04</v>
      </c>
      <c r="O584" s="43"/>
      <c r="P584" s="43"/>
      <c r="Q584" s="113">
        <f>SUM(L584:M584)</f>
        <v>11440</v>
      </c>
      <c r="R584" s="101" t="e">
        <f>ROUND(SUM(K584:M584)*(R583-1),2)</f>
        <v>#N/A</v>
      </c>
      <c r="S584" s="43">
        <f>ROUND($B584*S$517*S583,2)</f>
        <v>0</v>
      </c>
      <c r="T584" s="43">
        <f>ROUND($B584*T$517,2)</f>
        <v>0</v>
      </c>
      <c r="U584" s="43">
        <f>ROUND($B584*U$517,2)</f>
        <v>0</v>
      </c>
      <c r="V584" s="42">
        <f>ROUND($B584*V$515,2)</f>
        <v>0</v>
      </c>
      <c r="W584" s="43">
        <f>ROUND($B584*W$517,2)</f>
        <v>0</v>
      </c>
      <c r="X584" s="43">
        <f>ROUND($B584*X$517,2)</f>
        <v>0</v>
      </c>
      <c r="Y584" s="43">
        <f>ROUND($B584*Y$517,2)</f>
        <v>0</v>
      </c>
      <c r="Z584" s="43">
        <f>ROUND($B584*Z$517,2)</f>
        <v>0</v>
      </c>
      <c r="AA584" s="43">
        <f>ROUND($B584*AA$517,2)</f>
        <v>0</v>
      </c>
      <c r="AB584" s="19">
        <f>SUM(U$517:AA$517)+(-V$517+V529)</f>
        <v>2.3760000000000005E-3</v>
      </c>
      <c r="AC584" s="115" t="str">
        <f>+F584</f>
        <v>PL2</v>
      </c>
    </row>
    <row r="585" spans="1:29" ht="13" x14ac:dyDescent="0.3">
      <c r="A585" s="9"/>
      <c r="B585" s="128">
        <v>-1</v>
      </c>
      <c r="D585" s="42"/>
      <c r="E585" s="96"/>
      <c r="F585" s="37"/>
      <c r="G585" s="43"/>
      <c r="H585" s="19"/>
      <c r="I585" s="19"/>
      <c r="J585" s="108"/>
      <c r="K585" s="43"/>
      <c r="L585" s="43"/>
      <c r="M585" s="43"/>
      <c r="N585" s="43"/>
      <c r="O585" s="43"/>
      <c r="P585" s="43"/>
      <c r="Q585" s="43"/>
      <c r="R585" s="39" t="e">
        <f>VLOOKUP((D586),'Pwr Factor'!$A$1:$B$52,2)</f>
        <v>#N/A</v>
      </c>
      <c r="S585" s="51">
        <v>0.25</v>
      </c>
      <c r="T585" s="43"/>
      <c r="U585" s="43"/>
      <c r="V585" s="42"/>
      <c r="W585" s="43"/>
      <c r="X585" s="43"/>
      <c r="Y585" s="43"/>
      <c r="Z585" s="43"/>
      <c r="AA585" s="43"/>
      <c r="AB585" s="19"/>
      <c r="AC585" s="115"/>
    </row>
    <row r="586" spans="1:29" ht="13" x14ac:dyDescent="0.3">
      <c r="A586" s="57" t="s">
        <v>158</v>
      </c>
      <c r="B586" s="111">
        <f>IF(AND('AES Indiana Sep 23 Bill Calc.'!$D$17="PL",'AES Indiana Sep 23 Bill Calc.'!$D$18="Yes 25%",'AES Indiana Sep 23 Bill Calc.'!$D$20="Yes 2022"),'AES Indiana Sep 23 Bill Calc.'!$D$19,-1)</f>
        <v>-1</v>
      </c>
      <c r="C586" s="111">
        <f>MAX(E586,$C$516)</f>
        <v>500</v>
      </c>
      <c r="D586" s="111" t="b">
        <f>IF(AND('AES Indiana Sep 23 Bill Calc.'!$D$17="PL",'AES Indiana Sep 23 Bill Calc.'!$D$18="Yes 25%",'AES Indiana Sep 23 Bill Calc.'!$D$20="Yes 2022"),'AES Indiana Sep 23 Bill Calc.'!$D$22)</f>
        <v>0</v>
      </c>
      <c r="E586" s="111" t="b">
        <f>IF(AND('AES Indiana Sep 23 Bill Calc.'!$D$17="PL",'AES Indiana Sep 23 Bill Calc.'!$D$18="Yes 25%",'AES Indiana Sep 23 Bill Calc.'!$D$20="Yes 2022"),'AES Indiana Sep 23 Bill Calc.'!$D$21)</f>
        <v>0</v>
      </c>
      <c r="F586" s="37" t="s">
        <v>185</v>
      </c>
      <c r="G586" s="43" t="e">
        <f>SUM(J586:M586,R586:AA586)</f>
        <v>#N/A</v>
      </c>
      <c r="H586" s="19" t="e">
        <f>IF(ISBLANK(B586),0,+#REF!/B586)</f>
        <v>#REF!</v>
      </c>
      <c r="I586" s="19"/>
      <c r="J586" s="108">
        <f>IF(ISBLANK(B586),0,+J$517)</f>
        <v>118.2</v>
      </c>
      <c r="K586" s="43">
        <f>ROUND($B586*K$517,2)</f>
        <v>-0.04</v>
      </c>
      <c r="L586" s="113">
        <f>IF($C586&gt;L$518,ROUND(L$518*L$517,2),ROUND($C586*L$517,2))</f>
        <v>11440</v>
      </c>
      <c r="M586" s="113">
        <f>IF($C586&gt;L$518,ROUND(($C586-L$518)*M$517,2),0)</f>
        <v>0</v>
      </c>
      <c r="N586" s="113">
        <f>K586</f>
        <v>-0.04</v>
      </c>
      <c r="O586" s="43"/>
      <c r="P586" s="43"/>
      <c r="Q586" s="113">
        <f>SUM(L586:M586)</f>
        <v>11440</v>
      </c>
      <c r="R586" s="101" t="e">
        <f>ROUND(SUM(K586:M586)*(R585-1),2)</f>
        <v>#N/A</v>
      </c>
      <c r="S586" s="43">
        <f>ROUND($B586*S$517*S585,2)</f>
        <v>0</v>
      </c>
      <c r="T586" s="43">
        <f>ROUND($B586*T$517,2)</f>
        <v>0</v>
      </c>
      <c r="U586" s="43">
        <f>ROUND($B586*U$517,2)</f>
        <v>0</v>
      </c>
      <c r="V586" s="42">
        <f>ROUND($B586*V$515,2)</f>
        <v>0</v>
      </c>
      <c r="W586" s="43">
        <f>ROUND($B586*W$517,2)</f>
        <v>0</v>
      </c>
      <c r="X586" s="43">
        <f>ROUND($B586*X$517,2)</f>
        <v>0</v>
      </c>
      <c r="Y586" s="43">
        <f>ROUND($B586*Y$517,2)</f>
        <v>0</v>
      </c>
      <c r="Z586" s="43">
        <f>ROUND($B586*Z$517,2)</f>
        <v>0</v>
      </c>
      <c r="AA586" s="43">
        <f>ROUND($B586*AA$517,2)</f>
        <v>0</v>
      </c>
      <c r="AB586" s="19">
        <f>SUM(U$517:AA$517)+(-V$517+V531)</f>
        <v>2.3760000000000005E-3</v>
      </c>
      <c r="AC586" s="115" t="str">
        <f>+F586</f>
        <v>PL2</v>
      </c>
    </row>
    <row r="587" spans="1:29" ht="13" x14ac:dyDescent="0.3">
      <c r="A587" s="9"/>
      <c r="B587" s="128">
        <v>-1</v>
      </c>
      <c r="D587" s="42"/>
      <c r="E587" s="96"/>
      <c r="F587" s="37"/>
      <c r="G587" s="43"/>
      <c r="H587" s="19"/>
      <c r="I587" s="19"/>
      <c r="J587" s="108"/>
      <c r="K587" s="43"/>
      <c r="L587" s="43"/>
      <c r="M587" s="43"/>
      <c r="N587" s="43"/>
      <c r="O587" s="43"/>
      <c r="P587" s="43"/>
      <c r="Q587" s="43"/>
      <c r="R587" s="39" t="e">
        <f>VLOOKUP((D588),'Pwr Factor'!$A$1:$B$52,2)</f>
        <v>#N/A</v>
      </c>
      <c r="S587" s="51">
        <v>0.1</v>
      </c>
      <c r="T587" s="43"/>
      <c r="U587" s="43"/>
      <c r="V587" s="42"/>
      <c r="W587" s="43"/>
      <c r="X587" s="43"/>
      <c r="Y587" s="43"/>
      <c r="Z587" s="43"/>
      <c r="AA587" s="43"/>
      <c r="AB587" s="19"/>
      <c r="AC587" s="115"/>
    </row>
    <row r="588" spans="1:29" ht="13" x14ac:dyDescent="0.3">
      <c r="A588" s="57" t="s">
        <v>173</v>
      </c>
      <c r="B588" s="111">
        <f>IF(AND('AES Indiana Sep 23 Bill Calc.'!$D$17="PL",'AES Indiana Sep 23 Bill Calc.'!$D$18="Yes 10%",'AES Indiana Sep 23 Bill Calc.'!$D$20="Yes 2022"),'AES Indiana Sep 23 Bill Calc.'!$D$19,-1)</f>
        <v>-1</v>
      </c>
      <c r="C588" s="111">
        <f>MAX(E588,$C$516)</f>
        <v>500</v>
      </c>
      <c r="D588" s="111" t="b">
        <f>IF(AND('AES Indiana Sep 23 Bill Calc.'!$D$17="PL",'AES Indiana Sep 23 Bill Calc.'!$D$18="Yes 10%",'AES Indiana Sep 23 Bill Calc.'!$D$20="Yes 2022"),'AES Indiana Sep 23 Bill Calc.'!$D$22)</f>
        <v>0</v>
      </c>
      <c r="E588" s="111" t="b">
        <f>IF(AND('AES Indiana Sep 23 Bill Calc.'!$D$17="PL",'AES Indiana Sep 23 Bill Calc.'!$D$18="Yes 10%",'AES Indiana Sep 23 Bill Calc.'!$D$20="Yes 2022"),'AES Indiana Sep 23 Bill Calc.'!$D$21)</f>
        <v>0</v>
      </c>
      <c r="F588" s="37" t="s">
        <v>185</v>
      </c>
      <c r="G588" s="43" t="e">
        <f>SUM(J588:M588,R588:AA588)</f>
        <v>#N/A</v>
      </c>
      <c r="H588" s="19" t="e">
        <f>IF(ISBLANK(B588),0,+#REF!/B588)</f>
        <v>#REF!</v>
      </c>
      <c r="I588" s="19"/>
      <c r="J588" s="108">
        <f>IF(ISBLANK(B588),0,+J$517)</f>
        <v>118.2</v>
      </c>
      <c r="K588" s="43">
        <f>ROUND($B588*K$517,2)</f>
        <v>-0.04</v>
      </c>
      <c r="L588" s="113">
        <f>IF($C588&gt;L$518,ROUND(L$518*L$517,2),ROUND($C588*L$517,2))</f>
        <v>11440</v>
      </c>
      <c r="M588" s="113">
        <f>IF($C588&gt;L$518,ROUND(($C588-L$518)*M$517,2),0)</f>
        <v>0</v>
      </c>
      <c r="N588" s="113">
        <f>K588</f>
        <v>-0.04</v>
      </c>
      <c r="O588" s="43"/>
      <c r="P588" s="43"/>
      <c r="Q588" s="113">
        <f>SUM(L588:M588)</f>
        <v>11440</v>
      </c>
      <c r="R588" s="101" t="e">
        <f>ROUND(SUM(K588:M588)*(R587-1),2)</f>
        <v>#N/A</v>
      </c>
      <c r="S588" s="43">
        <f>ROUND($B588*S$517*S587,2)</f>
        <v>0</v>
      </c>
      <c r="T588" s="43">
        <f>ROUND($B588*T$517,2)</f>
        <v>0</v>
      </c>
      <c r="U588" s="43">
        <f>ROUND($B588*U$517,2)</f>
        <v>0</v>
      </c>
      <c r="V588" s="42">
        <f>ROUND($B588*V$515,2)</f>
        <v>0</v>
      </c>
      <c r="W588" s="43">
        <f>ROUND($B588*W$517,2)</f>
        <v>0</v>
      </c>
      <c r="X588" s="43">
        <f>ROUND($B588*X$517,2)</f>
        <v>0</v>
      </c>
      <c r="Y588" s="43">
        <f>ROUND($B588*Y$517,2)</f>
        <v>0</v>
      </c>
      <c r="Z588" s="43">
        <f>ROUND($B588*Z$517,2)</f>
        <v>0</v>
      </c>
      <c r="AA588" s="43">
        <f>ROUND($B588*AA$517,2)</f>
        <v>0</v>
      </c>
      <c r="AB588" s="19">
        <f>SUM(U$517:AA$517)+(-V$517+V533)</f>
        <v>2.3760000000000005E-3</v>
      </c>
      <c r="AC588" s="115" t="str">
        <f>+F588</f>
        <v>PL2</v>
      </c>
    </row>
    <row r="589" spans="1:29" ht="15" customHeight="1" x14ac:dyDescent="0.3">
      <c r="A589" s="9"/>
      <c r="B589" s="128">
        <v>-1</v>
      </c>
      <c r="D589" s="42"/>
      <c r="E589" s="96"/>
      <c r="F589" s="37"/>
      <c r="G589" s="43"/>
      <c r="H589" s="19"/>
      <c r="I589" s="19"/>
      <c r="J589" s="108"/>
      <c r="K589" s="43"/>
      <c r="L589" s="43"/>
      <c r="M589" s="43"/>
      <c r="N589" s="43"/>
      <c r="O589" s="43"/>
      <c r="P589" s="43"/>
      <c r="Q589" s="43"/>
      <c r="R589" s="39" t="e">
        <f>VLOOKUP((D590),'Pwr Factor'!$A$1:$B$52,2)</f>
        <v>#N/A</v>
      </c>
      <c r="S589" s="51">
        <v>0</v>
      </c>
      <c r="T589" s="43"/>
      <c r="U589" s="43"/>
      <c r="V589" s="42"/>
      <c r="W589" s="43"/>
      <c r="X589" s="43"/>
      <c r="Y589" s="43"/>
      <c r="Z589" s="43"/>
      <c r="AA589" s="43"/>
      <c r="AB589" s="19"/>
      <c r="AC589" s="115"/>
    </row>
    <row r="590" spans="1:29" ht="15" customHeight="1" x14ac:dyDescent="0.3">
      <c r="A590" s="57" t="s">
        <v>172</v>
      </c>
      <c r="B590" s="111">
        <f>IF(AND('AES Indiana Sep 23 Bill Calc.'!$D$17="PL",'AES Indiana Sep 23 Bill Calc.'!$D$18="No",'AES Indiana Sep 23 Bill Calc.'!$D$20="Yes 2022"),'AES Indiana Sep 23 Bill Calc.'!$D$19,-1)</f>
        <v>-1</v>
      </c>
      <c r="C590" s="111">
        <f>MAX(E590,$C$516)</f>
        <v>500</v>
      </c>
      <c r="D590" s="111" t="b">
        <f>IF(AND('AES Indiana Sep 23 Bill Calc.'!$D$17="PL",'AES Indiana Sep 23 Bill Calc.'!$D$18="No",'AES Indiana Sep 23 Bill Calc.'!$D$20="Yes 2022"),'AES Indiana Sep 23 Bill Calc.'!$D$22)</f>
        <v>0</v>
      </c>
      <c r="E590" s="111" t="b">
        <f>IF(AND('AES Indiana Sep 23 Bill Calc.'!$D$17="PL",'AES Indiana Sep 23 Bill Calc.'!$D$18="No",'AES Indiana Sep 23 Bill Calc.'!$D$20="Yes 2022"),'AES Indiana Sep 23 Bill Calc.'!$D$21)</f>
        <v>0</v>
      </c>
      <c r="F590" s="37" t="s">
        <v>185</v>
      </c>
      <c r="G590" s="43" t="e">
        <f>SUM(J590:M590,R590:AA590)</f>
        <v>#N/A</v>
      </c>
      <c r="H590" s="19" t="e">
        <f>IF(ISBLANK(B590),0,+#REF!/B590)</f>
        <v>#REF!</v>
      </c>
      <c r="I590" s="19"/>
      <c r="J590" s="108">
        <f>IF(ISBLANK(B590),0,+J$517)</f>
        <v>118.2</v>
      </c>
      <c r="K590" s="43">
        <f>ROUND($B590*K$517,2)</f>
        <v>-0.04</v>
      </c>
      <c r="L590" s="113">
        <f>IF($C590&gt;L$518,ROUND(L$518*L$517,2),ROUND($C590*L$517,2))</f>
        <v>11440</v>
      </c>
      <c r="M590" s="113">
        <f>IF($C590&gt;L$518,ROUND(($C590-L$518)*M$517,2),0)</f>
        <v>0</v>
      </c>
      <c r="N590" s="113">
        <f>K590</f>
        <v>-0.04</v>
      </c>
      <c r="O590" s="43"/>
      <c r="P590" s="43"/>
      <c r="Q590" s="113">
        <f>SUM(L590:M590)</f>
        <v>11440</v>
      </c>
      <c r="R590" s="101" t="e">
        <f>ROUND(SUM(K590:M590)*(R589-1),2)</f>
        <v>#N/A</v>
      </c>
      <c r="S590" s="43">
        <f>ROUND($B590*S$517*S589,2)</f>
        <v>0</v>
      </c>
      <c r="T590" s="43">
        <f>ROUND($B590*T$517,2)</f>
        <v>0</v>
      </c>
      <c r="U590" s="43">
        <f>ROUND($B590*U$517,2)</f>
        <v>0</v>
      </c>
      <c r="V590" s="42">
        <f>ROUND($B590*V$515,2)</f>
        <v>0</v>
      </c>
      <c r="W590" s="43">
        <f>ROUND($B590*W$517,2)</f>
        <v>0</v>
      </c>
      <c r="X590" s="43">
        <f>ROUND($B590*X$517,2)</f>
        <v>0</v>
      </c>
      <c r="Y590" s="43">
        <f>ROUND($B590*Y$517,2)</f>
        <v>0</v>
      </c>
      <c r="Z590" s="43">
        <f>ROUND($B590*Z$517,2)</f>
        <v>0</v>
      </c>
      <c r="AA590" s="43">
        <f>ROUND($B590*AA$517,2)</f>
        <v>0</v>
      </c>
      <c r="AB590" s="19">
        <f>SUM(U$517:AA$517)+(-V$517+V535)</f>
        <v>2.3760000000000005E-3</v>
      </c>
      <c r="AC590" s="115" t="str">
        <f>+F590</f>
        <v>PL2</v>
      </c>
    </row>
    <row r="591" spans="1:29" ht="15" customHeight="1" x14ac:dyDescent="0.3">
      <c r="B591" s="128">
        <v>-1</v>
      </c>
      <c r="D591" s="42"/>
      <c r="E591" s="96"/>
      <c r="F591" s="37"/>
      <c r="G591" s="43"/>
      <c r="H591" s="19"/>
      <c r="I591" s="19"/>
      <c r="J591" s="108"/>
      <c r="K591" s="43"/>
      <c r="L591" s="43"/>
      <c r="M591" s="43"/>
      <c r="N591" s="43"/>
      <c r="O591" s="43"/>
      <c r="P591" s="43"/>
      <c r="Q591" s="43"/>
      <c r="R591" s="39" t="e">
        <f>VLOOKUP((D592),'Pwr Factor'!$A$1:$B$52,2)</f>
        <v>#N/A</v>
      </c>
      <c r="S591" s="51">
        <v>1</v>
      </c>
      <c r="T591" s="43"/>
      <c r="U591" s="43"/>
      <c r="V591" s="42"/>
      <c r="W591" s="43"/>
      <c r="X591" s="43"/>
      <c r="Y591" s="43"/>
      <c r="Z591" s="43"/>
      <c r="AA591" s="43"/>
      <c r="AB591" s="19"/>
      <c r="AC591" s="115"/>
    </row>
    <row r="592" spans="1:29" ht="13" x14ac:dyDescent="0.3">
      <c r="A592" s="1" t="s">
        <v>73</v>
      </c>
      <c r="B592" s="111">
        <f>IF(AND('AES Indiana Sep 23 Bill Calc.'!$D$17="PL",'AES Indiana Sep 23 Bill Calc.'!$D$18="Yes 100%",'AES Indiana Sep 23 Bill Calc.'!$D$20="Yes 2023"),'AES Indiana Sep 23 Bill Calc.'!$D$19,-1)</f>
        <v>-1</v>
      </c>
      <c r="C592" s="111">
        <f>MAX(E592,$C$516)</f>
        <v>500</v>
      </c>
      <c r="D592" s="111" t="b">
        <f>IF(AND('AES Indiana Sep 23 Bill Calc.'!$D$17="PL",'AES Indiana Sep 23 Bill Calc.'!$D$18="Yes 100%",'AES Indiana Sep 23 Bill Calc.'!$D$20="Yes 2022"),'AES Indiana Sep 23 Bill Calc.'!$D$22)</f>
        <v>0</v>
      </c>
      <c r="E592" s="111" t="b">
        <f>IF(AND('AES Indiana Sep 23 Bill Calc.'!$D$17="PL",'AES Indiana Sep 23 Bill Calc.'!$D$18="Yes 100%",'AES Indiana Sep 23 Bill Calc.'!$D$20="Yes 2022"),'AES Indiana Sep 23 Bill Calc.'!$D$21)</f>
        <v>0</v>
      </c>
      <c r="F592" s="37" t="s">
        <v>298</v>
      </c>
      <c r="G592" s="43" t="e">
        <f>SUM(J592:M592,R592:AA592)</f>
        <v>#N/A</v>
      </c>
      <c r="H592" s="19" t="e">
        <f>IF(ISBLANK(B592),0,+#REF!/B592)</f>
        <v>#REF!</v>
      </c>
      <c r="I592" s="19"/>
      <c r="J592" s="108">
        <f>IF(ISBLANK(B592),0,+J$517)</f>
        <v>118.2</v>
      </c>
      <c r="K592" s="43">
        <f>ROUND($B592*K$517,2)</f>
        <v>-0.04</v>
      </c>
      <c r="L592" s="113">
        <f>IF($C592&gt;L$518,ROUND(L$518*L$517,2),ROUND($C592*L$517,2))</f>
        <v>11440</v>
      </c>
      <c r="M592" s="113">
        <f>IF($C592&gt;L$518,ROUND(($C592-L$518)*M$517,2),0)</f>
        <v>0</v>
      </c>
      <c r="N592" s="113">
        <f>K592</f>
        <v>-0.04</v>
      </c>
      <c r="O592" s="43"/>
      <c r="P592" s="43"/>
      <c r="Q592" s="113">
        <f>SUM(L592:M592)</f>
        <v>11440</v>
      </c>
      <c r="R592" s="101" t="e">
        <f>ROUND(SUM(K592:M592)*(R591-1),2)</f>
        <v>#N/A</v>
      </c>
      <c r="S592" s="43">
        <f>ROUND($B592*S$517*S591,2)</f>
        <v>0</v>
      </c>
      <c r="T592" s="43">
        <f>ROUND($B592*T$517,2)</f>
        <v>0</v>
      </c>
      <c r="U592" s="43">
        <f>ROUND($B592*U$517,2)</f>
        <v>0</v>
      </c>
      <c r="V592" s="42">
        <f>ROUND($B592*V$516,2)</f>
        <v>0</v>
      </c>
      <c r="W592" s="43">
        <f>ROUND($B592*W$517,2)</f>
        <v>0</v>
      </c>
      <c r="X592" s="43">
        <f>ROUND($B592*X$517,2)</f>
        <v>0</v>
      </c>
      <c r="Y592" s="43">
        <f>ROUND($B592*Y$517,2)</f>
        <v>0</v>
      </c>
      <c r="Z592" s="43">
        <f>ROUND($B592*Z$517,2)</f>
        <v>0</v>
      </c>
      <c r="AA592" s="43">
        <f>ROUND($B592*AA$517,2)</f>
        <v>0</v>
      </c>
      <c r="AB592" s="19">
        <f>SUM(U$517:AA$517)+(-V$517+V537)</f>
        <v>2.3760000000000005E-3</v>
      </c>
      <c r="AC592" s="115" t="str">
        <f>+F592</f>
        <v>PL3</v>
      </c>
    </row>
    <row r="593" spans="1:29" ht="13" x14ac:dyDescent="0.3">
      <c r="A593" s="9"/>
      <c r="B593" s="128">
        <v>-1</v>
      </c>
      <c r="D593" s="42"/>
      <c r="E593" s="96"/>
      <c r="F593" s="37"/>
      <c r="G593" s="43"/>
      <c r="H593" s="19"/>
      <c r="I593" s="19"/>
      <c r="J593" s="108"/>
      <c r="K593" s="43"/>
      <c r="L593" s="43"/>
      <c r="M593" s="43"/>
      <c r="N593" s="43"/>
      <c r="O593" s="43"/>
      <c r="P593" s="43"/>
      <c r="Q593" s="43"/>
      <c r="R593" s="39" t="e">
        <f>VLOOKUP((D594),'Pwr Factor'!$A$1:$B$52,2)</f>
        <v>#N/A</v>
      </c>
      <c r="S593" s="51">
        <v>0.5</v>
      </c>
      <c r="T593" s="43"/>
      <c r="U593" s="43"/>
      <c r="V593" s="42"/>
      <c r="W593" s="43"/>
      <c r="X593" s="43"/>
      <c r="Y593" s="43"/>
      <c r="Z593" s="43"/>
      <c r="AA593" s="43"/>
      <c r="AB593" s="19"/>
      <c r="AC593" s="115"/>
    </row>
    <row r="594" spans="1:29" ht="13" x14ac:dyDescent="0.3">
      <c r="A594" s="57" t="s">
        <v>171</v>
      </c>
      <c r="B594" s="111">
        <f>IF(AND('AES Indiana Sep 23 Bill Calc.'!$D$17="PL",'AES Indiana Sep 23 Bill Calc.'!$D$18="Yes 50%",'AES Indiana Sep 23 Bill Calc.'!$D$20="Yes 2023"),'AES Indiana Sep 23 Bill Calc.'!$D$19,-1)</f>
        <v>-1</v>
      </c>
      <c r="C594" s="111">
        <f>MAX(E594,$C$516)</f>
        <v>500</v>
      </c>
      <c r="D594" s="111" t="b">
        <f>IF(AND('AES Indiana Sep 23 Bill Calc.'!$D$17="PL",'AES Indiana Sep 23 Bill Calc.'!$D$18="Yes 50%",'AES Indiana Sep 23 Bill Calc.'!$D$20="Yes 2022"),'AES Indiana Sep 23 Bill Calc.'!$D$22)</f>
        <v>0</v>
      </c>
      <c r="E594" s="111" t="b">
        <f>IF(AND('AES Indiana Sep 23 Bill Calc.'!$D$17="PL",'AES Indiana Sep 23 Bill Calc.'!$D$18="Yes 50%",'AES Indiana Sep 23 Bill Calc.'!$D$20="Yes 2022"),'AES Indiana Sep 23 Bill Calc.'!$D$21)</f>
        <v>0</v>
      </c>
      <c r="F594" s="37" t="s">
        <v>298</v>
      </c>
      <c r="G594" s="43" t="e">
        <f>SUM(J594:M594,R594:AA594)</f>
        <v>#N/A</v>
      </c>
      <c r="H594" s="19" t="e">
        <f>IF(ISBLANK(B594),0,+#REF!/B594)</f>
        <v>#REF!</v>
      </c>
      <c r="I594" s="19"/>
      <c r="J594" s="108">
        <f>IF(ISBLANK(B594),0,+J$517)</f>
        <v>118.2</v>
      </c>
      <c r="K594" s="43">
        <f>ROUND($B594*K$517,2)</f>
        <v>-0.04</v>
      </c>
      <c r="L594" s="113">
        <f>IF($C594&gt;L$518,ROUND(L$518*L$517,2),ROUND($C594*L$517,2))</f>
        <v>11440</v>
      </c>
      <c r="M594" s="113">
        <f>IF($C594&gt;L$518,ROUND(($C594-L$518)*M$517,2),0)</f>
        <v>0</v>
      </c>
      <c r="N594" s="113">
        <f>K594</f>
        <v>-0.04</v>
      </c>
      <c r="O594" s="43"/>
      <c r="P594" s="43"/>
      <c r="Q594" s="113">
        <f>SUM(L594:M594)</f>
        <v>11440</v>
      </c>
      <c r="R594" s="101" t="e">
        <f>ROUND(SUM(K594:M594)*(R593-1),2)</f>
        <v>#N/A</v>
      </c>
      <c r="S594" s="43">
        <f>ROUND($B594*S$517*S593,2)</f>
        <v>0</v>
      </c>
      <c r="T594" s="43">
        <f>ROUND($B594*T$517,2)</f>
        <v>0</v>
      </c>
      <c r="U594" s="43">
        <f>ROUND($B594*U$517,2)</f>
        <v>0</v>
      </c>
      <c r="V594" s="42">
        <f>ROUND($B594*V$516,2)</f>
        <v>0</v>
      </c>
      <c r="W594" s="43">
        <f>ROUND($B594*W$517,2)</f>
        <v>0</v>
      </c>
      <c r="X594" s="43">
        <f>ROUND($B594*X$517,2)</f>
        <v>0</v>
      </c>
      <c r="Y594" s="43">
        <f>ROUND($B594*Y$517,2)</f>
        <v>0</v>
      </c>
      <c r="Z594" s="43">
        <f>ROUND($B594*Z$517,2)</f>
        <v>0</v>
      </c>
      <c r="AA594" s="43">
        <f>ROUND($B594*AA$517,2)</f>
        <v>0</v>
      </c>
      <c r="AB594" s="19">
        <f>SUM(U$517:AA$517)+(-V$517+V539)</f>
        <v>2.3760000000000005E-3</v>
      </c>
      <c r="AC594" s="115" t="str">
        <f>+F594</f>
        <v>PL3</v>
      </c>
    </row>
    <row r="595" spans="1:29" ht="13" x14ac:dyDescent="0.3">
      <c r="A595" s="9"/>
      <c r="B595" s="128">
        <v>-1</v>
      </c>
      <c r="D595" s="42"/>
      <c r="E595" s="96"/>
      <c r="F595" s="37"/>
      <c r="G595" s="43"/>
      <c r="H595" s="19"/>
      <c r="I595" s="19"/>
      <c r="J595" s="108"/>
      <c r="K595" s="43"/>
      <c r="L595" s="43"/>
      <c r="M595" s="43"/>
      <c r="N595" s="43"/>
      <c r="O595" s="43"/>
      <c r="P595" s="43"/>
      <c r="Q595" s="43"/>
      <c r="R595" s="39" t="e">
        <f>VLOOKUP((D596),'Pwr Factor'!$A$1:$B$52,2)</f>
        <v>#N/A</v>
      </c>
      <c r="S595" s="51">
        <v>0.25</v>
      </c>
      <c r="T595" s="43"/>
      <c r="U595" s="43"/>
      <c r="V595" s="42"/>
      <c r="W595" s="43"/>
      <c r="X595" s="43"/>
      <c r="Y595" s="43"/>
      <c r="Z595" s="43"/>
      <c r="AA595" s="43"/>
      <c r="AB595" s="19"/>
      <c r="AC595" s="115"/>
    </row>
    <row r="596" spans="1:29" ht="13" x14ac:dyDescent="0.3">
      <c r="A596" s="57" t="s">
        <v>158</v>
      </c>
      <c r="B596" s="111">
        <f>IF(AND('AES Indiana Sep 23 Bill Calc.'!$D$17="PL",'AES Indiana Sep 23 Bill Calc.'!$D$18="Yes 25%",'AES Indiana Sep 23 Bill Calc.'!$D$20="Yes 2023"),'AES Indiana Sep 23 Bill Calc.'!$D$19,-1)</f>
        <v>-1</v>
      </c>
      <c r="C596" s="111">
        <f>MAX(E596,$C$516)</f>
        <v>500</v>
      </c>
      <c r="D596" s="111" t="b">
        <f>IF(AND('AES Indiana Sep 23 Bill Calc.'!$D$17="PL",'AES Indiana Sep 23 Bill Calc.'!$D$18="Yes 25%",'AES Indiana Sep 23 Bill Calc.'!$D$20="Yes 2022"),'AES Indiana Sep 23 Bill Calc.'!$D$22)</f>
        <v>0</v>
      </c>
      <c r="E596" s="111" t="b">
        <f>IF(AND('AES Indiana Sep 23 Bill Calc.'!$D$17="PL",'AES Indiana Sep 23 Bill Calc.'!$D$18="Yes 25%",'AES Indiana Sep 23 Bill Calc.'!$D$20="Yes 2022"),'AES Indiana Sep 23 Bill Calc.'!$D$21)</f>
        <v>0</v>
      </c>
      <c r="F596" s="37" t="s">
        <v>298</v>
      </c>
      <c r="G596" s="43" t="e">
        <f>SUM(J596:M596,R596:AA596)</f>
        <v>#N/A</v>
      </c>
      <c r="H596" s="19" t="e">
        <f>IF(ISBLANK(B596),0,+#REF!/B596)</f>
        <v>#REF!</v>
      </c>
      <c r="I596" s="19"/>
      <c r="J596" s="108">
        <f>IF(ISBLANK(B596),0,+J$517)</f>
        <v>118.2</v>
      </c>
      <c r="K596" s="43">
        <f>ROUND($B596*K$517,2)</f>
        <v>-0.04</v>
      </c>
      <c r="L596" s="113">
        <f>IF($C596&gt;L$518,ROUND(L$518*L$517,2),ROUND($C596*L$517,2))</f>
        <v>11440</v>
      </c>
      <c r="M596" s="113">
        <f>IF($C596&gt;L$518,ROUND(($C596-L$518)*M$517,2),0)</f>
        <v>0</v>
      </c>
      <c r="N596" s="113">
        <f>K596</f>
        <v>-0.04</v>
      </c>
      <c r="O596" s="43"/>
      <c r="P596" s="43"/>
      <c r="Q596" s="113">
        <f>SUM(L596:M596)</f>
        <v>11440</v>
      </c>
      <c r="R596" s="101" t="e">
        <f>ROUND(SUM(K596:M596)*(R595-1),2)</f>
        <v>#N/A</v>
      </c>
      <c r="S596" s="43">
        <f>ROUND($B596*S$517*S595,2)</f>
        <v>0</v>
      </c>
      <c r="T596" s="43">
        <f>ROUND($B596*T$517,2)</f>
        <v>0</v>
      </c>
      <c r="U596" s="43">
        <f>ROUND($B596*U$517,2)</f>
        <v>0</v>
      </c>
      <c r="V596" s="42">
        <f>ROUND($B596*V$516,2)</f>
        <v>0</v>
      </c>
      <c r="W596" s="43">
        <f>ROUND($B596*W$517,2)</f>
        <v>0</v>
      </c>
      <c r="X596" s="43">
        <f>ROUND($B596*X$517,2)</f>
        <v>0</v>
      </c>
      <c r="Y596" s="43">
        <f>ROUND($B596*Y$517,2)</f>
        <v>0</v>
      </c>
      <c r="Z596" s="43">
        <f>ROUND($B596*Z$517,2)</f>
        <v>0</v>
      </c>
      <c r="AA596" s="43">
        <f>ROUND($B596*AA$517,2)</f>
        <v>0</v>
      </c>
      <c r="AB596" s="19">
        <f>SUM(U$517:AA$517)+(-V$517+V541)</f>
        <v>2.3760000000000005E-3</v>
      </c>
      <c r="AC596" s="115" t="str">
        <f>+F596</f>
        <v>PL3</v>
      </c>
    </row>
    <row r="597" spans="1:29" ht="13" x14ac:dyDescent="0.3">
      <c r="A597" s="9"/>
      <c r="B597" s="128">
        <v>-1</v>
      </c>
      <c r="D597" s="42"/>
      <c r="E597" s="96"/>
      <c r="F597" s="37"/>
      <c r="G597" s="43"/>
      <c r="H597" s="19"/>
      <c r="I597" s="19"/>
      <c r="J597" s="108"/>
      <c r="K597" s="43"/>
      <c r="L597" s="43"/>
      <c r="M597" s="43"/>
      <c r="N597" s="43"/>
      <c r="O597" s="43"/>
      <c r="P597" s="43"/>
      <c r="Q597" s="43"/>
      <c r="R597" s="39" t="e">
        <f>VLOOKUP((D598),'Pwr Factor'!$A$1:$B$52,2)</f>
        <v>#N/A</v>
      </c>
      <c r="S597" s="51">
        <v>0.1</v>
      </c>
      <c r="T597" s="43"/>
      <c r="U597" s="43"/>
      <c r="V597" s="42"/>
      <c r="W597" s="43"/>
      <c r="X597" s="43"/>
      <c r="Y597" s="43"/>
      <c r="Z597" s="43"/>
      <c r="AA597" s="43"/>
      <c r="AB597" s="19"/>
      <c r="AC597" s="115"/>
    </row>
    <row r="598" spans="1:29" ht="13" x14ac:dyDescent="0.3">
      <c r="A598" s="57" t="s">
        <v>173</v>
      </c>
      <c r="B598" s="111">
        <f>IF(AND('AES Indiana Sep 23 Bill Calc.'!$D$17="PL",'AES Indiana Sep 23 Bill Calc.'!$D$18="Yes 10%",'AES Indiana Sep 23 Bill Calc.'!$D$20="Yes 2023"),'AES Indiana Sep 23 Bill Calc.'!$D$19,-1)</f>
        <v>-1</v>
      </c>
      <c r="C598" s="111">
        <f>MAX(E598,$C$516)</f>
        <v>500</v>
      </c>
      <c r="D598" s="111" t="b">
        <f>IF(AND('AES Indiana Sep 23 Bill Calc.'!$D$17="PL",'AES Indiana Sep 23 Bill Calc.'!$D$18="Yes 10%",'AES Indiana Sep 23 Bill Calc.'!$D$20="Yes 2022"),'AES Indiana Sep 23 Bill Calc.'!$D$22)</f>
        <v>0</v>
      </c>
      <c r="E598" s="111" t="b">
        <f>IF(AND('AES Indiana Sep 23 Bill Calc.'!$D$17="PL",'AES Indiana Sep 23 Bill Calc.'!$D$18="Yes 10%",'AES Indiana Sep 23 Bill Calc.'!$D$20="Yes 2022"),'AES Indiana Sep 23 Bill Calc.'!$D$21)</f>
        <v>0</v>
      </c>
      <c r="F598" s="37" t="s">
        <v>298</v>
      </c>
      <c r="G598" s="43" t="e">
        <f>SUM(J598:M598,R598:AA598)</f>
        <v>#N/A</v>
      </c>
      <c r="H598" s="19" t="e">
        <f>IF(ISBLANK(B598),0,+#REF!/B598)</f>
        <v>#REF!</v>
      </c>
      <c r="I598" s="19"/>
      <c r="J598" s="108">
        <f>IF(ISBLANK(B598),0,+J$517)</f>
        <v>118.2</v>
      </c>
      <c r="K598" s="43">
        <f>ROUND($B598*K$517,2)</f>
        <v>-0.04</v>
      </c>
      <c r="L598" s="113">
        <f>IF($C598&gt;L$518,ROUND(L$518*L$517,2),ROUND($C598*L$517,2))</f>
        <v>11440</v>
      </c>
      <c r="M598" s="113">
        <f>IF($C598&gt;L$518,ROUND(($C598-L$518)*M$517,2),0)</f>
        <v>0</v>
      </c>
      <c r="N598" s="113">
        <f>K598</f>
        <v>-0.04</v>
      </c>
      <c r="O598" s="43"/>
      <c r="P598" s="43"/>
      <c r="Q598" s="113">
        <f>SUM(L598:M598)</f>
        <v>11440</v>
      </c>
      <c r="R598" s="101" t="e">
        <f>ROUND(SUM(K598:M598)*(R597-1),2)</f>
        <v>#N/A</v>
      </c>
      <c r="S598" s="43">
        <f>ROUND($B598*S$517*S597,2)</f>
        <v>0</v>
      </c>
      <c r="T598" s="43">
        <f>ROUND($B598*T$517,2)</f>
        <v>0</v>
      </c>
      <c r="U598" s="43">
        <f>ROUND($B598*U$517,2)</f>
        <v>0</v>
      </c>
      <c r="V598" s="42">
        <f>ROUND($B598*V$516,2)</f>
        <v>0</v>
      </c>
      <c r="W598" s="43">
        <f>ROUND($B598*W$517,2)</f>
        <v>0</v>
      </c>
      <c r="X598" s="43">
        <f>ROUND($B598*X$517,2)</f>
        <v>0</v>
      </c>
      <c r="Y598" s="43">
        <f>ROUND($B598*Y$517,2)</f>
        <v>0</v>
      </c>
      <c r="Z598" s="43">
        <f>ROUND($B598*Z$517,2)</f>
        <v>0</v>
      </c>
      <c r="AA598" s="43">
        <f>ROUND($B598*AA$517,2)</f>
        <v>0</v>
      </c>
      <c r="AB598" s="19">
        <f>SUM(U$517:AA$517)+(-V$517+V543)</f>
        <v>2.3760000000000005E-3</v>
      </c>
      <c r="AC598" s="115" t="str">
        <f>+F598</f>
        <v>PL3</v>
      </c>
    </row>
    <row r="599" spans="1:29" ht="13" x14ac:dyDescent="0.3">
      <c r="A599" s="9"/>
      <c r="B599" s="128">
        <v>-1</v>
      </c>
      <c r="D599" s="42"/>
      <c r="E599" s="96"/>
      <c r="F599" s="37"/>
      <c r="G599" s="43"/>
      <c r="H599" s="19"/>
      <c r="I599" s="19"/>
      <c r="J599" s="108"/>
      <c r="K599" s="43"/>
      <c r="L599" s="43"/>
      <c r="M599" s="43"/>
      <c r="N599" s="43"/>
      <c r="O599" s="43"/>
      <c r="P599" s="43"/>
      <c r="Q599" s="43"/>
      <c r="R599" s="39" t="e">
        <f>VLOOKUP((D600),'Pwr Factor'!$A$1:$B$52,2)</f>
        <v>#N/A</v>
      </c>
      <c r="S599" s="51">
        <v>0</v>
      </c>
      <c r="T599" s="43"/>
      <c r="U599" s="43"/>
      <c r="V599" s="42"/>
      <c r="W599" s="43"/>
      <c r="X599" s="43"/>
      <c r="Y599" s="43"/>
      <c r="Z599" s="43"/>
      <c r="AA599" s="43"/>
      <c r="AB599" s="19"/>
      <c r="AC599" s="115"/>
    </row>
    <row r="600" spans="1:29" ht="13" x14ac:dyDescent="0.3">
      <c r="A600" s="57" t="s">
        <v>172</v>
      </c>
      <c r="B600" s="111">
        <f>IF(AND('AES Indiana Sep 23 Bill Calc.'!$D$17="PL",'AES Indiana Sep 23 Bill Calc.'!$D$18="No",'AES Indiana Sep 23 Bill Calc.'!$D$20="Yes 2023"),'AES Indiana Sep 23 Bill Calc.'!$D$19,-1)</f>
        <v>-1</v>
      </c>
      <c r="C600" s="111">
        <f>MAX(E600,$C$516)</f>
        <v>500</v>
      </c>
      <c r="D600" s="111" t="b">
        <f>IF(AND('AES Indiana Sep 23 Bill Calc.'!$D$17="PL",'AES Indiana Sep 23 Bill Calc.'!$D$18="No",'AES Indiana Sep 23 Bill Calc.'!$D$20="Yes 2022"),'AES Indiana Sep 23 Bill Calc.'!$D$22)</f>
        <v>0</v>
      </c>
      <c r="E600" s="111" t="b">
        <f>IF(AND('AES Indiana Sep 23 Bill Calc.'!$D$17="PL",'AES Indiana Sep 23 Bill Calc.'!$D$18="No",'AES Indiana Sep 23 Bill Calc.'!$D$20="Yes 2022"),'AES Indiana Sep 23 Bill Calc.'!$D$21)</f>
        <v>0</v>
      </c>
      <c r="F600" s="37" t="s">
        <v>298</v>
      </c>
      <c r="G600" s="43" t="e">
        <f>SUM(J600:M600,R600:AA600)</f>
        <v>#N/A</v>
      </c>
      <c r="H600" s="19" t="e">
        <f>IF(ISBLANK(B600),0,+#REF!/B600)</f>
        <v>#REF!</v>
      </c>
      <c r="I600" s="19"/>
      <c r="J600" s="108">
        <f>IF(ISBLANK(B600),0,+J$517)</f>
        <v>118.2</v>
      </c>
      <c r="K600" s="43">
        <f>ROUND($B600*K$517,2)</f>
        <v>-0.04</v>
      </c>
      <c r="L600" s="113">
        <f>IF($C600&gt;L$518,ROUND(L$518*L$517,2),ROUND($C600*L$517,2))</f>
        <v>11440</v>
      </c>
      <c r="M600" s="113">
        <f>IF($C600&gt;L$518,ROUND(($C600-L$518)*M$517,2),0)</f>
        <v>0</v>
      </c>
      <c r="N600" s="113">
        <f>K600</f>
        <v>-0.04</v>
      </c>
      <c r="O600" s="43"/>
      <c r="P600" s="43"/>
      <c r="Q600" s="113">
        <f>SUM(L600:M600)</f>
        <v>11440</v>
      </c>
      <c r="R600" s="101" t="e">
        <f>ROUND(SUM(K600:M600)*(R599-1),2)</f>
        <v>#N/A</v>
      </c>
      <c r="S600" s="43">
        <f>ROUND($B600*S$517*S599,2)</f>
        <v>0</v>
      </c>
      <c r="T600" s="43">
        <f>ROUND($B600*T$517,2)</f>
        <v>0</v>
      </c>
      <c r="U600" s="43">
        <f>ROUND($B600*U$517,2)</f>
        <v>0</v>
      </c>
      <c r="V600" s="42">
        <f>ROUND($B600*V$516,2)</f>
        <v>0</v>
      </c>
      <c r="W600" s="43">
        <f>ROUND($B600*W$517,2)</f>
        <v>0</v>
      </c>
      <c r="X600" s="43">
        <f>ROUND($B600*X$517,2)</f>
        <v>0</v>
      </c>
      <c r="Y600" s="43">
        <f>ROUND($B600*Y$517,2)</f>
        <v>0</v>
      </c>
      <c r="Z600" s="43">
        <f>ROUND($B600*Z$517,2)</f>
        <v>0</v>
      </c>
      <c r="AA600" s="43">
        <f>ROUND($B600*AA$517,2)</f>
        <v>0</v>
      </c>
      <c r="AB600" s="19">
        <f>SUM(U$517:AA$517)+(-V$517+V545)</f>
        <v>2.3760000000000005E-3</v>
      </c>
      <c r="AC600" s="115" t="str">
        <f>+F600</f>
        <v>PL3</v>
      </c>
    </row>
    <row r="601" spans="1:29" ht="13" x14ac:dyDescent="0.3">
      <c r="A601" s="57"/>
      <c r="B601" s="111">
        <v>-1</v>
      </c>
      <c r="C601" s="111"/>
      <c r="D601" s="111"/>
      <c r="E601" s="111"/>
      <c r="F601" s="37"/>
      <c r="G601" s="43"/>
      <c r="H601" s="19"/>
      <c r="I601" s="19"/>
      <c r="J601" s="108"/>
      <c r="K601" s="43"/>
      <c r="L601" s="113"/>
      <c r="M601" s="113"/>
      <c r="N601" s="113"/>
      <c r="O601" s="43"/>
      <c r="P601" s="43"/>
      <c r="Q601" s="113"/>
      <c r="R601" s="101"/>
      <c r="S601" s="43"/>
      <c r="T601" s="43"/>
      <c r="U601" s="43"/>
      <c r="V601" s="27">
        <f>+T13</f>
        <v>0</v>
      </c>
      <c r="W601" s="6" t="s">
        <v>114</v>
      </c>
      <c r="X601" s="43"/>
      <c r="Y601" s="43"/>
      <c r="Z601" s="43"/>
      <c r="AA601" s="43"/>
      <c r="AB601" s="19"/>
      <c r="AC601" s="115"/>
    </row>
    <row r="602" spans="1:29" x14ac:dyDescent="0.25">
      <c r="B602" s="111">
        <v>-1</v>
      </c>
      <c r="C602" s="9"/>
      <c r="D602" s="8"/>
      <c r="I602" s="19"/>
      <c r="S602" s="6"/>
      <c r="T602" s="6"/>
      <c r="U602" s="6"/>
      <c r="V602" s="27">
        <f>T16</f>
        <v>1.18E-4</v>
      </c>
      <c r="W602" s="6" t="s">
        <v>121</v>
      </c>
      <c r="X602" s="6"/>
      <c r="Y602" s="6"/>
      <c r="Z602" s="6"/>
      <c r="AA602" s="6"/>
      <c r="AB602" s="19"/>
    </row>
    <row r="603" spans="1:29" x14ac:dyDescent="0.25">
      <c r="B603" s="111">
        <v>-1</v>
      </c>
      <c r="C603" s="9"/>
      <c r="D603" s="8"/>
      <c r="I603" s="19"/>
      <c r="S603" s="6"/>
      <c r="T603" s="6"/>
      <c r="U603" s="6"/>
      <c r="V603" s="27">
        <f>$T$19</f>
        <v>4.8799999999999999E-4</v>
      </c>
      <c r="W603" s="6" t="s">
        <v>140</v>
      </c>
      <c r="X603" s="6"/>
      <c r="Y603" s="6"/>
      <c r="Z603" s="6"/>
      <c r="AA603" s="6"/>
      <c r="AB603" s="19"/>
    </row>
    <row r="604" spans="1:29" x14ac:dyDescent="0.25">
      <c r="B604" s="111">
        <v>-1</v>
      </c>
      <c r="C604" s="9"/>
      <c r="D604" s="8"/>
      <c r="I604" s="19"/>
      <c r="S604" s="6"/>
      <c r="T604" s="6"/>
      <c r="U604" s="6"/>
      <c r="V604" s="27">
        <f>$T$21</f>
        <v>1.0330000000000001E-3</v>
      </c>
      <c r="W604" s="6" t="s">
        <v>93</v>
      </c>
      <c r="X604" s="6"/>
      <c r="Y604" s="6"/>
      <c r="Z604" s="6"/>
      <c r="AA604" s="6"/>
      <c r="AB604" s="19"/>
    </row>
    <row r="605" spans="1:29" x14ac:dyDescent="0.25">
      <c r="B605" s="111">
        <v>-1</v>
      </c>
      <c r="C605" s="9"/>
      <c r="D605" s="8"/>
      <c r="I605" s="19"/>
      <c r="S605" s="6"/>
      <c r="T605" s="6"/>
      <c r="U605" s="6"/>
      <c r="V605" s="27">
        <f>$T$23</f>
        <v>1.763E-3</v>
      </c>
      <c r="W605" s="6" t="s">
        <v>164</v>
      </c>
      <c r="X605" s="6"/>
      <c r="Y605" s="6"/>
      <c r="Z605" s="6"/>
      <c r="AA605" s="6"/>
      <c r="AB605" s="19"/>
    </row>
    <row r="606" spans="1:29" x14ac:dyDescent="0.25">
      <c r="B606" s="111">
        <v>-1</v>
      </c>
      <c r="C606" s="9"/>
      <c r="D606" s="8"/>
      <c r="I606" s="19"/>
      <c r="S606" s="6"/>
      <c r="T606" s="6"/>
      <c r="U606" s="6"/>
      <c r="V606" s="27">
        <f>$T$25</f>
        <v>0</v>
      </c>
      <c r="W606" s="6" t="s">
        <v>177</v>
      </c>
      <c r="X606" s="6"/>
      <c r="Y606" s="6"/>
      <c r="Z606" s="6"/>
      <c r="AA606" s="6"/>
      <c r="AB606" s="19"/>
    </row>
    <row r="607" spans="1:29" x14ac:dyDescent="0.25">
      <c r="B607" s="111">
        <v>-1</v>
      </c>
      <c r="C607" s="9"/>
      <c r="D607" s="8"/>
      <c r="I607" s="19"/>
      <c r="S607" s="6"/>
      <c r="T607" s="6"/>
      <c r="U607" s="6"/>
      <c r="V607" s="19">
        <f>T27</f>
        <v>3.6970000000000002E-3</v>
      </c>
      <c r="W607" s="6" t="s">
        <v>294</v>
      </c>
      <c r="X607" s="6"/>
      <c r="Y607" s="6"/>
      <c r="Z607" s="6"/>
      <c r="AA607" s="6"/>
      <c r="AB607" s="19"/>
    </row>
    <row r="608" spans="1:29" x14ac:dyDescent="0.25">
      <c r="A608" s="1"/>
      <c r="B608" s="111">
        <v>-1</v>
      </c>
      <c r="C608" s="34" t="s">
        <v>261</v>
      </c>
      <c r="D608" s="8"/>
      <c r="F608" s="82"/>
      <c r="G608" s="82"/>
      <c r="H608" s="82"/>
      <c r="I608" s="87"/>
      <c r="J608" s="84">
        <v>1231.26</v>
      </c>
      <c r="K608" s="83">
        <v>7.9430000000000001E-2</v>
      </c>
      <c r="L608" s="83">
        <v>6.4654000000000003E-2</v>
      </c>
      <c r="M608" s="8">
        <v>0</v>
      </c>
      <c r="N608" s="8"/>
      <c r="O608" s="8"/>
      <c r="P608" s="8"/>
      <c r="Q608" s="8"/>
      <c r="R608" s="5"/>
      <c r="S608" s="27">
        <f>+M$5</f>
        <v>3.0000000000000001E-3</v>
      </c>
      <c r="T608" s="27">
        <f t="shared" ref="T608:AA608" si="40">+R$5</f>
        <v>-3.1020000000000002E-3</v>
      </c>
      <c r="U608" s="27">
        <f>S5</f>
        <v>1.9350000000000001E-3</v>
      </c>
      <c r="V608" s="27">
        <f>+T$5</f>
        <v>6.1199999999999996E-3</v>
      </c>
      <c r="W608" s="27">
        <f t="shared" si="40"/>
        <v>0</v>
      </c>
      <c r="X608" s="27">
        <f t="shared" si="40"/>
        <v>6.6500000000000001E-4</v>
      </c>
      <c r="Y608" s="27">
        <f>+W$5</f>
        <v>1.784E-3</v>
      </c>
      <c r="Z608" s="27">
        <f t="shared" si="40"/>
        <v>-1.1180000000000001E-3</v>
      </c>
      <c r="AA608" s="27">
        <f t="shared" si="40"/>
        <v>2.7E-4</v>
      </c>
      <c r="AB608" s="19">
        <f>SUM(U608:Z608)</f>
        <v>9.3859999999999985E-3</v>
      </c>
    </row>
    <row r="609" spans="1:29" x14ac:dyDescent="0.25">
      <c r="B609" s="111">
        <v>-1</v>
      </c>
      <c r="C609" s="9">
        <v>100</v>
      </c>
      <c r="D609" s="8"/>
      <c r="F609" s="82"/>
      <c r="G609" s="82"/>
      <c r="H609" s="82"/>
      <c r="I609" s="87"/>
      <c r="J609" s="82"/>
      <c r="K609" s="85">
        <v>250</v>
      </c>
      <c r="L609" s="85"/>
    </row>
    <row r="610" spans="1:29" x14ac:dyDescent="0.25">
      <c r="B610" s="111">
        <v>-1</v>
      </c>
      <c r="C610" s="9"/>
      <c r="D610" s="8"/>
      <c r="F610" s="12"/>
      <c r="I610" s="19"/>
      <c r="J610" s="12" t="s">
        <v>1</v>
      </c>
      <c r="K610" s="256" t="s">
        <v>2</v>
      </c>
      <c r="L610" s="256"/>
      <c r="M610" s="13" t="s">
        <v>28</v>
      </c>
      <c r="N610" s="12"/>
      <c r="O610" s="12"/>
      <c r="P610" s="166" t="s">
        <v>288</v>
      </c>
      <c r="Q610" s="73" t="s">
        <v>175</v>
      </c>
      <c r="R610" s="12" t="s">
        <v>33</v>
      </c>
      <c r="S610" s="12">
        <v>21</v>
      </c>
      <c r="T610" s="12">
        <v>6</v>
      </c>
      <c r="U610" s="12">
        <v>3</v>
      </c>
      <c r="V610" s="12">
        <v>22</v>
      </c>
      <c r="W610" s="12">
        <v>13</v>
      </c>
      <c r="X610" s="12">
        <v>20</v>
      </c>
      <c r="Y610" s="12">
        <v>24</v>
      </c>
      <c r="Z610" s="12">
        <v>25</v>
      </c>
      <c r="AA610" s="12">
        <v>26</v>
      </c>
    </row>
    <row r="611" spans="1:29" x14ac:dyDescent="0.25">
      <c r="A611" s="13"/>
      <c r="B611" s="111">
        <v>-1</v>
      </c>
      <c r="C611" s="122" t="s">
        <v>135</v>
      </c>
      <c r="D611" s="123" t="s">
        <v>136</v>
      </c>
      <c r="E611" s="157" t="s">
        <v>260</v>
      </c>
      <c r="F611" s="13" t="s">
        <v>4</v>
      </c>
      <c r="G611" s="157" t="s">
        <v>12</v>
      </c>
      <c r="H611" s="13" t="s">
        <v>13</v>
      </c>
      <c r="I611" s="70" t="s">
        <v>157</v>
      </c>
      <c r="J611" s="13" t="s">
        <v>5</v>
      </c>
      <c r="K611" s="13" t="s">
        <v>55</v>
      </c>
      <c r="L611" s="13" t="s">
        <v>56</v>
      </c>
      <c r="M611" s="13" t="s">
        <v>5</v>
      </c>
      <c r="N611" s="73" t="s">
        <v>176</v>
      </c>
      <c r="O611" s="13"/>
      <c r="P611" s="12"/>
      <c r="Q611" s="13"/>
      <c r="R611" s="13" t="s">
        <v>35</v>
      </c>
      <c r="S611" s="13" t="s">
        <v>70</v>
      </c>
      <c r="T611" s="13" t="s">
        <v>9</v>
      </c>
      <c r="U611" s="80" t="s">
        <v>161</v>
      </c>
      <c r="V611" s="13" t="s">
        <v>79</v>
      </c>
      <c r="W611" s="13" t="s">
        <v>10</v>
      </c>
      <c r="X611" s="13" t="s">
        <v>11</v>
      </c>
      <c r="Y611" s="80" t="s">
        <v>104</v>
      </c>
      <c r="Z611" s="80" t="s">
        <v>105</v>
      </c>
      <c r="AA611" s="80" t="s">
        <v>106</v>
      </c>
      <c r="AB611" s="77" t="s">
        <v>71</v>
      </c>
    </row>
    <row r="612" spans="1:29" ht="13" x14ac:dyDescent="0.3">
      <c r="A612" s="49"/>
      <c r="B612" s="111">
        <v>-1</v>
      </c>
      <c r="D612" s="8"/>
      <c r="E612" s="9"/>
      <c r="F612" s="37"/>
      <c r="H612" s="12"/>
      <c r="I612" s="19"/>
      <c r="J612" s="12"/>
      <c r="K612" s="44">
        <f>ROUND(C613*K$609,0)</f>
        <v>25000</v>
      </c>
      <c r="L612" s="36">
        <f>+B613-K612</f>
        <v>-25001</v>
      </c>
      <c r="M612" s="12"/>
      <c r="N612" s="12"/>
      <c r="O612" s="12"/>
      <c r="P612" s="17" t="e">
        <f>SUM(J613:M613,R613:AA613)</f>
        <v>#N/A</v>
      </c>
      <c r="Q612" s="12"/>
      <c r="R612" s="39" t="e">
        <f>VLOOKUP((D613),'Pwr Factor'!$A$1:$B$52,2)</f>
        <v>#N/A</v>
      </c>
      <c r="S612" s="51">
        <v>1</v>
      </c>
      <c r="T612" s="12"/>
      <c r="U612" s="12"/>
      <c r="V612" s="12"/>
      <c r="W612" s="12"/>
      <c r="X612" s="12"/>
      <c r="Y612" s="12"/>
      <c r="Z612" s="12"/>
      <c r="AA612" s="12"/>
    </row>
    <row r="613" spans="1:29" ht="13" x14ac:dyDescent="0.3">
      <c r="A613" s="1" t="s">
        <v>73</v>
      </c>
      <c r="B613" s="111">
        <f>IF(AND('AES Indiana Sep 23 Bill Calc.'!$D$17="PH",'AES Indiana Sep 23 Bill Calc.'!$D$18="Yes 100%",'AES Indiana Sep 23 Bill Calc.'!$D$20="No"),'AES Indiana Sep 23 Bill Calc.'!$D$19,-1)</f>
        <v>-1</v>
      </c>
      <c r="C613" s="111">
        <f>MAX(E613,$C$609)</f>
        <v>100</v>
      </c>
      <c r="D613" s="111" t="b">
        <f>IF(AND('AES Indiana Sep 23 Bill Calc.'!$D$17="PH",'AES Indiana Sep 23 Bill Calc.'!$D$18="Yes 100%",'AES Indiana Sep 23 Bill Calc.'!$D$20="No"),'AES Indiana Sep 23 Bill Calc.'!$D$22)</f>
        <v>0</v>
      </c>
      <c r="E613" s="111" t="b">
        <f>IF(AND('AES Indiana Sep 23 Bill Calc.'!$D$17="PH",'AES Indiana Sep 23 Bill Calc.'!$D$18="Yes 100%",'AES Indiana Sep 23 Bill Calc.'!$D$20="No"),'AES Indiana Sep 23 Bill Calc.'!$D$21)</f>
        <v>0</v>
      </c>
      <c r="F613" s="37" t="s">
        <v>52</v>
      </c>
      <c r="G613" s="165" t="e">
        <f>MAX(I613,P612)</f>
        <v>#N/A</v>
      </c>
      <c r="H613" s="19" t="e">
        <f>IF(ISBLANK(B613),0,+#REF!/B613)</f>
        <v>#REF!</v>
      </c>
      <c r="I613" s="140">
        <f>(E613*120*$K$608)+$J$608</f>
        <v>1231.26</v>
      </c>
      <c r="J613" s="53">
        <f>IF(ISBLANK(B613),0,+J$608)</f>
        <v>1231.26</v>
      </c>
      <c r="K613" s="16">
        <f>IF($B613&gt;K612,ROUND(K612*K$608,2),ROUND($B613*K$608,2))</f>
        <v>-0.08</v>
      </c>
      <c r="L613" s="17">
        <f>IF($B613&gt;K612,ROUND((B613-K612)*L$608,2),0)</f>
        <v>0</v>
      </c>
      <c r="M613" s="17">
        <f>IF($C613&gt;L$518,ROUND(($C613-L$518)*M$517,2),0)</f>
        <v>0</v>
      </c>
      <c r="N613" s="17">
        <f>SUM(K613:L613)</f>
        <v>-0.08</v>
      </c>
      <c r="O613" s="17"/>
      <c r="P613" s="12"/>
      <c r="Q613" s="17">
        <f>M613</f>
        <v>0</v>
      </c>
      <c r="R613" s="16" t="e">
        <f>ROUND(SUM(K613:M613)*(R612-1),2)</f>
        <v>#N/A</v>
      </c>
      <c r="S613" s="17">
        <f>ROUND($B613*S$608*S612,2)</f>
        <v>0</v>
      </c>
      <c r="T613" s="17">
        <f t="shared" ref="T613:AA613" si="41">ROUND($B613*T$608,2)</f>
        <v>0</v>
      </c>
      <c r="U613" s="17">
        <f t="shared" si="41"/>
        <v>0</v>
      </c>
      <c r="V613" s="17">
        <f t="shared" si="41"/>
        <v>-0.01</v>
      </c>
      <c r="W613" s="17">
        <f t="shared" si="41"/>
        <v>0</v>
      </c>
      <c r="X613" s="17">
        <f t="shared" si="41"/>
        <v>0</v>
      </c>
      <c r="Y613" s="17">
        <f t="shared" si="41"/>
        <v>0</v>
      </c>
      <c r="Z613" s="17">
        <f t="shared" si="41"/>
        <v>0</v>
      </c>
      <c r="AA613" s="17">
        <f t="shared" si="41"/>
        <v>0</v>
      </c>
      <c r="AB613" s="19">
        <f>SUM(U608:AA608)</f>
        <v>9.6559999999999979E-3</v>
      </c>
      <c r="AC613" s="78" t="str">
        <f>+F613</f>
        <v>PH</v>
      </c>
    </row>
    <row r="614" spans="1:29" ht="13" x14ac:dyDescent="0.3">
      <c r="A614" s="9"/>
      <c r="B614" s="111">
        <v>-1</v>
      </c>
      <c r="D614" s="8"/>
      <c r="E614" s="9"/>
      <c r="F614" s="37"/>
      <c r="H614" s="12"/>
      <c r="I614" s="19"/>
      <c r="J614" s="12"/>
      <c r="K614" s="44">
        <f>ROUND(C615*K$609,0)</f>
        <v>25000</v>
      </c>
      <c r="L614" s="36">
        <f>+B615-K614</f>
        <v>-25001</v>
      </c>
      <c r="M614" s="12"/>
      <c r="N614" s="12"/>
      <c r="O614" s="12"/>
      <c r="P614" s="17" t="e">
        <f>SUM(J615:M615,R615:AA615)</f>
        <v>#N/A</v>
      </c>
      <c r="Q614" s="17">
        <f t="shared" ref="Q614:Q677" si="42">M614</f>
        <v>0</v>
      </c>
      <c r="R614" s="39" t="e">
        <f>VLOOKUP((D615),'Pwr Factor'!$A$1:$B$52,2)</f>
        <v>#N/A</v>
      </c>
      <c r="S614" s="51">
        <v>0.5</v>
      </c>
      <c r="T614" s="12"/>
      <c r="U614" s="12"/>
      <c r="V614" s="12"/>
      <c r="W614" s="12"/>
      <c r="X614" s="12"/>
      <c r="Y614" s="12"/>
      <c r="Z614" s="12"/>
      <c r="AA614" s="12"/>
    </row>
    <row r="615" spans="1:29" ht="13" x14ac:dyDescent="0.3">
      <c r="A615" s="57" t="s">
        <v>171</v>
      </c>
      <c r="B615" s="111">
        <f>IF(AND('AES Indiana Sep 23 Bill Calc.'!$D$17="PH",'AES Indiana Sep 23 Bill Calc.'!$D$18="Yes 50%",'AES Indiana Sep 23 Bill Calc.'!$D$20="No"),'AES Indiana Sep 23 Bill Calc.'!$D$19,-1)</f>
        <v>-1</v>
      </c>
      <c r="C615" s="111">
        <f>MAX(E615,$C$609)</f>
        <v>100</v>
      </c>
      <c r="D615" s="111" t="b">
        <f>IF(AND('AES Indiana Sep 23 Bill Calc.'!$D$17="PH",'AES Indiana Sep 23 Bill Calc.'!$D$18="Yes 50%",'AES Indiana Sep 23 Bill Calc.'!$D$20="No"),'AES Indiana Sep 23 Bill Calc.'!$D$22)</f>
        <v>0</v>
      </c>
      <c r="E615" s="111" t="b">
        <f>IF(AND('AES Indiana Sep 23 Bill Calc.'!$D$17="PH",'AES Indiana Sep 23 Bill Calc.'!$D$18="Yes 50%",'AES Indiana Sep 23 Bill Calc.'!$D$20="No"),'AES Indiana Sep 23 Bill Calc.'!$D$21)</f>
        <v>0</v>
      </c>
      <c r="F615" s="37" t="s">
        <v>52</v>
      </c>
      <c r="G615" s="165" t="e">
        <f>MAX(I615,P614)</f>
        <v>#N/A</v>
      </c>
      <c r="H615" s="19" t="e">
        <f>IF(ISBLANK(B615),0,+#REF!/B615)</f>
        <v>#REF!</v>
      </c>
      <c r="I615" s="140">
        <f>(E615*120*$K$608)+$J$608</f>
        <v>1231.26</v>
      </c>
      <c r="J615" s="53">
        <f>IF(ISBLANK(B615),0,+J$608)</f>
        <v>1231.26</v>
      </c>
      <c r="K615" s="16">
        <f>IF($B615&gt;K614,ROUND(K614*K$608,2),ROUND($B615*K$608,2))</f>
        <v>-0.08</v>
      </c>
      <c r="L615" s="17">
        <f>IF($B615&gt;K614,ROUND((B615-K614)*L$608,2),0)</f>
        <v>0</v>
      </c>
      <c r="M615" s="17">
        <f>IF($C615&gt;L$518,ROUND(($C615-L$518)*M$517,2),0)</f>
        <v>0</v>
      </c>
      <c r="N615" s="17">
        <f>SUM(K615:L615)</f>
        <v>-0.08</v>
      </c>
      <c r="O615" s="17"/>
      <c r="P615" s="12"/>
      <c r="Q615" s="17">
        <f>M615</f>
        <v>0</v>
      </c>
      <c r="R615" s="16" t="e">
        <f>ROUND(SUM(K615:M615)*(R614-1),2)</f>
        <v>#N/A</v>
      </c>
      <c r="S615" s="17">
        <f>ROUND($B615*S$608*S614,2)</f>
        <v>0</v>
      </c>
      <c r="T615" s="17">
        <f t="shared" ref="T615:AA615" si="43">ROUND($B615*T$608,2)</f>
        <v>0</v>
      </c>
      <c r="U615" s="17">
        <f t="shared" si="43"/>
        <v>0</v>
      </c>
      <c r="V615" s="17">
        <f t="shared" si="43"/>
        <v>-0.01</v>
      </c>
      <c r="W615" s="17">
        <f t="shared" si="43"/>
        <v>0</v>
      </c>
      <c r="X615" s="17">
        <f t="shared" si="43"/>
        <v>0</v>
      </c>
      <c r="Y615" s="17">
        <f t="shared" si="43"/>
        <v>0</v>
      </c>
      <c r="Z615" s="17">
        <f t="shared" si="43"/>
        <v>0</v>
      </c>
      <c r="AA615" s="17">
        <f t="shared" si="43"/>
        <v>0</v>
      </c>
      <c r="AB615" s="19">
        <f>SUM(U610:AA610)</f>
        <v>133</v>
      </c>
      <c r="AC615" s="78" t="str">
        <f>+F615</f>
        <v>PH</v>
      </c>
    </row>
    <row r="616" spans="1:29" ht="13" x14ac:dyDescent="0.3">
      <c r="A616" s="9"/>
      <c r="B616" s="111">
        <v>-1</v>
      </c>
      <c r="D616" s="8"/>
      <c r="E616" s="9"/>
      <c r="F616" s="37"/>
      <c r="H616" s="12"/>
      <c r="I616" s="19"/>
      <c r="J616" s="12"/>
      <c r="K616" s="44">
        <f>ROUND(C617*K$609,0)</f>
        <v>25000</v>
      </c>
      <c r="L616" s="36">
        <f>+B617-K616</f>
        <v>-25001</v>
      </c>
      <c r="M616" s="12"/>
      <c r="N616" s="12"/>
      <c r="O616" s="12"/>
      <c r="P616" s="17" t="e">
        <f>SUM(J617:M617,R617:AA617)</f>
        <v>#N/A</v>
      </c>
      <c r="Q616" s="17">
        <f t="shared" si="42"/>
        <v>0</v>
      </c>
      <c r="R616" s="39" t="e">
        <f>VLOOKUP((D617),'Pwr Factor'!$A$1:$B$52,2)</f>
        <v>#N/A</v>
      </c>
      <c r="S616" s="51">
        <v>0.25</v>
      </c>
      <c r="T616" s="12"/>
      <c r="U616" s="12"/>
      <c r="V616" s="12"/>
      <c r="W616" s="12"/>
      <c r="X616" s="12"/>
      <c r="Y616" s="12"/>
      <c r="Z616" s="12"/>
      <c r="AA616" s="12"/>
    </row>
    <row r="617" spans="1:29" ht="13" x14ac:dyDescent="0.3">
      <c r="A617" s="57" t="s">
        <v>158</v>
      </c>
      <c r="B617" s="111">
        <f>IF(AND('AES Indiana Sep 23 Bill Calc.'!$D$17="PH",'AES Indiana Sep 23 Bill Calc.'!$D$18="Yes 25%",'AES Indiana Sep 23 Bill Calc.'!$D$20="No"),'AES Indiana Sep 23 Bill Calc.'!$D$19,-1)</f>
        <v>-1</v>
      </c>
      <c r="C617" s="111">
        <f>MAX(E617,$C$609)</f>
        <v>100</v>
      </c>
      <c r="D617" s="111" t="b">
        <f>IF(AND('AES Indiana Sep 23 Bill Calc.'!$D$17="PH",'AES Indiana Sep 23 Bill Calc.'!$D$18="Yes 25%",'AES Indiana Sep 23 Bill Calc.'!$D$20="No"),'AES Indiana Sep 23 Bill Calc.'!$D$22)</f>
        <v>0</v>
      </c>
      <c r="E617" s="111" t="b">
        <f>IF(AND('AES Indiana Sep 23 Bill Calc.'!$D$17="PH",'AES Indiana Sep 23 Bill Calc.'!$D$18="Yes 25%",'AES Indiana Sep 23 Bill Calc.'!$D$20="No"),'AES Indiana Sep 23 Bill Calc.'!$D$21)</f>
        <v>0</v>
      </c>
      <c r="F617" s="37" t="s">
        <v>52</v>
      </c>
      <c r="G617" s="165" t="e">
        <f>MAX(I617,P616)</f>
        <v>#N/A</v>
      </c>
      <c r="H617" s="19" t="e">
        <f>IF(ISBLANK(B617),0,+#REF!/B617)</f>
        <v>#REF!</v>
      </c>
      <c r="I617" s="140">
        <f>(E617*120*$K$608)+$J$608</f>
        <v>1231.26</v>
      </c>
      <c r="J617" s="53">
        <f>IF(ISBLANK(B617),0,+J$608)</f>
        <v>1231.26</v>
      </c>
      <c r="K617" s="16">
        <f>IF($B617&gt;K616,ROUND(K616*K$608,2),ROUND($B617*K$608,2))</f>
        <v>-0.08</v>
      </c>
      <c r="L617" s="17">
        <f>IF($B617&gt;K616,ROUND((B617-K616)*L$608,2),0)</f>
        <v>0</v>
      </c>
      <c r="M617" s="17">
        <f>IF($C617&gt;L$518,ROUND(($C617-L$518)*M$517,2),0)</f>
        <v>0</v>
      </c>
      <c r="N617" s="17">
        <f>SUM(K617:L617)</f>
        <v>-0.08</v>
      </c>
      <c r="O617" s="17"/>
      <c r="P617" s="12"/>
      <c r="Q617" s="17">
        <f t="shared" si="42"/>
        <v>0</v>
      </c>
      <c r="R617" s="16" t="e">
        <f>ROUND(SUM(K617:M617)*(R616-1),2)</f>
        <v>#N/A</v>
      </c>
      <c r="S617" s="17">
        <f>ROUND($B617*S$608*S616,2)</f>
        <v>0</v>
      </c>
      <c r="T617" s="17">
        <f t="shared" ref="T617:AA617" si="44">ROUND($B617*T$608,2)</f>
        <v>0</v>
      </c>
      <c r="U617" s="17">
        <f t="shared" si="44"/>
        <v>0</v>
      </c>
      <c r="V617" s="17">
        <f t="shared" si="44"/>
        <v>-0.01</v>
      </c>
      <c r="W617" s="17">
        <f t="shared" si="44"/>
        <v>0</v>
      </c>
      <c r="X617" s="17">
        <f t="shared" si="44"/>
        <v>0</v>
      </c>
      <c r="Y617" s="17">
        <f t="shared" si="44"/>
        <v>0</v>
      </c>
      <c r="Z617" s="17">
        <f t="shared" si="44"/>
        <v>0</v>
      </c>
      <c r="AA617" s="17">
        <f t="shared" si="44"/>
        <v>0</v>
      </c>
      <c r="AB617" s="19">
        <f>SUM(U612:AA612)</f>
        <v>0</v>
      </c>
      <c r="AC617" s="78" t="str">
        <f>+F617</f>
        <v>PH</v>
      </c>
    </row>
    <row r="618" spans="1:29" ht="13" x14ac:dyDescent="0.3">
      <c r="A618" s="9"/>
      <c r="B618" s="111">
        <v>-1</v>
      </c>
      <c r="D618" s="8"/>
      <c r="E618" s="9"/>
      <c r="F618" s="37"/>
      <c r="H618" s="12"/>
      <c r="I618" s="19"/>
      <c r="J618" s="12"/>
      <c r="K618" s="44">
        <f>ROUND(C619*K$609,0)</f>
        <v>25000</v>
      </c>
      <c r="L618" s="36">
        <f>+B619-K618</f>
        <v>-25001</v>
      </c>
      <c r="M618" s="12"/>
      <c r="N618" s="12"/>
      <c r="O618" s="12"/>
      <c r="P618" s="17" t="e">
        <f>SUM(J619:M619,R619:AA619)</f>
        <v>#N/A</v>
      </c>
      <c r="Q618" s="17">
        <f t="shared" si="42"/>
        <v>0</v>
      </c>
      <c r="R618" s="39" t="e">
        <f>VLOOKUP((D619),'Pwr Factor'!$A$1:$B$52,2)</f>
        <v>#N/A</v>
      </c>
      <c r="S618" s="51">
        <v>0.1</v>
      </c>
      <c r="T618" s="12"/>
      <c r="U618" s="12"/>
      <c r="V618" s="12"/>
      <c r="W618" s="12"/>
      <c r="X618" s="12"/>
      <c r="Y618" s="12"/>
      <c r="Z618" s="12"/>
      <c r="AA618" s="12"/>
    </row>
    <row r="619" spans="1:29" ht="13" x14ac:dyDescent="0.3">
      <c r="A619" s="57" t="s">
        <v>173</v>
      </c>
      <c r="B619" s="111">
        <f>IF(AND('AES Indiana Sep 23 Bill Calc.'!$D$17="PH",'AES Indiana Sep 23 Bill Calc.'!$D$18="Yes 10%",'AES Indiana Sep 23 Bill Calc.'!$D$20="No"),'AES Indiana Sep 23 Bill Calc.'!$D$19,-1)</f>
        <v>-1</v>
      </c>
      <c r="C619" s="111">
        <f>MAX(E619,$C$609)</f>
        <v>100</v>
      </c>
      <c r="D619" s="111" t="b">
        <f>IF(AND('AES Indiana Sep 23 Bill Calc.'!$D$17="PH",'AES Indiana Sep 23 Bill Calc.'!$D$18="Yes 10%",'AES Indiana Sep 23 Bill Calc.'!$D$20="No"),'AES Indiana Sep 23 Bill Calc.'!$D$22)</f>
        <v>0</v>
      </c>
      <c r="E619" s="111" t="b">
        <f>IF(AND('AES Indiana Sep 23 Bill Calc.'!$D$17="PH",'AES Indiana Sep 23 Bill Calc.'!$D$18="Yes 10%",'AES Indiana Sep 23 Bill Calc.'!$D$20="No"),'AES Indiana Sep 23 Bill Calc.'!$D$21)</f>
        <v>0</v>
      </c>
      <c r="F619" s="37" t="s">
        <v>52</v>
      </c>
      <c r="G619" s="165" t="e">
        <f>MAX(I619,P618)</f>
        <v>#N/A</v>
      </c>
      <c r="H619" s="19" t="e">
        <f>IF(ISBLANK(B619),0,+#REF!/B619)</f>
        <v>#REF!</v>
      </c>
      <c r="I619" s="140">
        <f>(E619*120*$K$608)+$J$608</f>
        <v>1231.26</v>
      </c>
      <c r="J619" s="53">
        <f>IF(ISBLANK(B619),0,+J$608)</f>
        <v>1231.26</v>
      </c>
      <c r="K619" s="16">
        <f>IF($B619&gt;K618,ROUND(K618*K$608,2),ROUND($B619*K$608,2))</f>
        <v>-0.08</v>
      </c>
      <c r="L619" s="17">
        <f>IF($B619&gt;K618,ROUND((B619-K618)*L$608,2),0)</f>
        <v>0</v>
      </c>
      <c r="M619" s="17">
        <f>IF($C619&gt;L$518,ROUND(($C619-L$518)*M$517,2),0)</f>
        <v>0</v>
      </c>
      <c r="N619" s="17">
        <f>SUM(K619:L619)</f>
        <v>-0.08</v>
      </c>
      <c r="O619" s="17"/>
      <c r="P619" s="12"/>
      <c r="Q619" s="17">
        <f t="shared" si="42"/>
        <v>0</v>
      </c>
      <c r="R619" s="16" t="e">
        <f>ROUND(SUM(K619:M619)*(R618-1),2)</f>
        <v>#N/A</v>
      </c>
      <c r="S619" s="17">
        <f>ROUND($B619*S$608*S618,2)</f>
        <v>0</v>
      </c>
      <c r="T619" s="17">
        <f t="shared" ref="T619:AA619" si="45">ROUND($B619*T$608,2)</f>
        <v>0</v>
      </c>
      <c r="U619" s="17">
        <f t="shared" si="45"/>
        <v>0</v>
      </c>
      <c r="V619" s="17">
        <f t="shared" si="45"/>
        <v>-0.01</v>
      </c>
      <c r="W619" s="17">
        <f t="shared" si="45"/>
        <v>0</v>
      </c>
      <c r="X619" s="17">
        <f t="shared" si="45"/>
        <v>0</v>
      </c>
      <c r="Y619" s="17">
        <f t="shared" si="45"/>
        <v>0</v>
      </c>
      <c r="Z619" s="17">
        <f t="shared" si="45"/>
        <v>0</v>
      </c>
      <c r="AA619" s="17">
        <f t="shared" si="45"/>
        <v>0</v>
      </c>
      <c r="AB619" s="19">
        <f>SUM(U614:AA614)</f>
        <v>0</v>
      </c>
      <c r="AC619" s="78" t="str">
        <f>+F619</f>
        <v>PH</v>
      </c>
    </row>
    <row r="620" spans="1:29" ht="13" x14ac:dyDescent="0.3">
      <c r="A620" s="9"/>
      <c r="B620" s="111">
        <v>-1</v>
      </c>
      <c r="D620" s="8"/>
      <c r="E620" s="9"/>
      <c r="F620" s="37"/>
      <c r="H620" s="12"/>
      <c r="I620" s="19"/>
      <c r="J620" s="12"/>
      <c r="K620" s="44">
        <f>ROUND(C621*K$609,0)</f>
        <v>25000</v>
      </c>
      <c r="L620" s="36">
        <f>+B621-K620</f>
        <v>-25001</v>
      </c>
      <c r="M620" s="12"/>
      <c r="N620" s="12"/>
      <c r="O620" s="12"/>
      <c r="P620" s="17" t="e">
        <f>SUM(J621:M621,R621:AA621)</f>
        <v>#N/A</v>
      </c>
      <c r="Q620" s="17">
        <f t="shared" si="42"/>
        <v>0</v>
      </c>
      <c r="R620" s="39" t="e">
        <f>VLOOKUP((D621),'Pwr Factor'!$A$1:$B$52,2)</f>
        <v>#N/A</v>
      </c>
      <c r="S620" s="51">
        <v>0</v>
      </c>
      <c r="T620" s="12"/>
      <c r="U620" s="12"/>
      <c r="V620" s="12"/>
      <c r="W620" s="12"/>
      <c r="X620" s="12"/>
      <c r="Y620" s="12"/>
      <c r="Z620" s="12"/>
      <c r="AA620" s="12"/>
    </row>
    <row r="621" spans="1:29" ht="13" x14ac:dyDescent="0.3">
      <c r="A621" s="57" t="s">
        <v>172</v>
      </c>
      <c r="B621" s="111">
        <f>IF(AND('AES Indiana Sep 23 Bill Calc.'!$D$17="PH",'AES Indiana Sep 23 Bill Calc.'!$D$18="No",'AES Indiana Sep 23 Bill Calc.'!$D$20="No"),'AES Indiana Sep 23 Bill Calc.'!$D$19,-1)</f>
        <v>-1</v>
      </c>
      <c r="C621" s="111">
        <f>MAX(E621,$C$609)</f>
        <v>100</v>
      </c>
      <c r="D621" s="111" t="b">
        <f>IF(AND('AES Indiana Sep 23 Bill Calc.'!$D$17="PH",'AES Indiana Sep 23 Bill Calc.'!$D$18="No",'AES Indiana Sep 23 Bill Calc.'!$D$20="No"),'AES Indiana Sep 23 Bill Calc.'!$D$22)</f>
        <v>0</v>
      </c>
      <c r="E621" s="111" t="b">
        <f>IF(AND('AES Indiana Sep 23 Bill Calc.'!$D$17="PH",'AES Indiana Sep 23 Bill Calc.'!$D$18="No",'AES Indiana Sep 23 Bill Calc.'!$D$20="No"),'AES Indiana Sep 23 Bill Calc.'!$D$21)</f>
        <v>0</v>
      </c>
      <c r="F621" s="37" t="s">
        <v>52</v>
      </c>
      <c r="G621" s="165" t="e">
        <f>MAX(I621,P620)</f>
        <v>#N/A</v>
      </c>
      <c r="H621" s="19" t="e">
        <f>IF(ISBLANK(B621),0,+#REF!/B621)</f>
        <v>#REF!</v>
      </c>
      <c r="I621" s="140">
        <f>(E621*120*$K$608)+$J$608</f>
        <v>1231.26</v>
      </c>
      <c r="J621" s="53">
        <f>IF(ISBLANK(B621),0,+J$608)</f>
        <v>1231.26</v>
      </c>
      <c r="K621" s="16">
        <f>IF($B621&gt;K620,ROUND(K620*K$608,2),ROUND($B621*K$608,2))</f>
        <v>-0.08</v>
      </c>
      <c r="L621" s="17">
        <f>IF($B621&gt;K620,ROUND((B621-K620)*L$608,2),0)</f>
        <v>0</v>
      </c>
      <c r="M621" s="17">
        <f>IF($C621&gt;L$518,ROUND(($C621-L$518)*M$517,2),0)</f>
        <v>0</v>
      </c>
      <c r="N621" s="17">
        <f>SUM(K621:L621)</f>
        <v>-0.08</v>
      </c>
      <c r="O621" s="17"/>
      <c r="P621" s="12"/>
      <c r="Q621" s="17">
        <f t="shared" si="42"/>
        <v>0</v>
      </c>
      <c r="R621" s="16" t="e">
        <f>ROUND(SUM(K621:M621)*(R620-1),2)</f>
        <v>#N/A</v>
      </c>
      <c r="S621" s="17">
        <f>ROUND($B621*S$608*S620,2)</f>
        <v>0</v>
      </c>
      <c r="T621" s="17">
        <f t="shared" ref="T621:AA621" si="46">ROUND($B621*T$608,2)</f>
        <v>0</v>
      </c>
      <c r="U621" s="17">
        <f t="shared" si="46"/>
        <v>0</v>
      </c>
      <c r="V621" s="17">
        <f t="shared" si="46"/>
        <v>-0.01</v>
      </c>
      <c r="W621" s="17">
        <f t="shared" si="46"/>
        <v>0</v>
      </c>
      <c r="X621" s="17">
        <f t="shared" si="46"/>
        <v>0</v>
      </c>
      <c r="Y621" s="17">
        <f t="shared" si="46"/>
        <v>0</v>
      </c>
      <c r="Z621" s="17">
        <f t="shared" si="46"/>
        <v>0</v>
      </c>
      <c r="AA621" s="17">
        <f t="shared" si="46"/>
        <v>0</v>
      </c>
      <c r="AB621" s="19">
        <f>SUM(U616:AA616)</f>
        <v>0</v>
      </c>
      <c r="AC621" s="78" t="str">
        <f>+F621</f>
        <v>PH</v>
      </c>
    </row>
    <row r="622" spans="1:29" ht="13" x14ac:dyDescent="0.3">
      <c r="A622" s="9"/>
      <c r="B622" s="111">
        <v>-1</v>
      </c>
      <c r="D622" s="8"/>
      <c r="E622" s="9"/>
      <c r="F622" s="37"/>
      <c r="H622" s="12"/>
      <c r="I622" s="19"/>
      <c r="J622" s="12"/>
      <c r="K622" s="44">
        <f>ROUND(C623*K$609,0)</f>
        <v>25000</v>
      </c>
      <c r="L622" s="36">
        <f>+B623-K622</f>
        <v>-25001</v>
      </c>
      <c r="M622" s="12"/>
      <c r="N622" s="12"/>
      <c r="O622" s="12"/>
      <c r="P622" s="17" t="e">
        <f>SUM(J623:M623,R623:AA623)</f>
        <v>#N/A</v>
      </c>
      <c r="Q622" s="17">
        <f t="shared" si="42"/>
        <v>0</v>
      </c>
      <c r="R622" s="39" t="e">
        <f>VLOOKUP((D623),'Pwr Factor'!$A$1:$B$52,2)</f>
        <v>#N/A</v>
      </c>
      <c r="S622" s="51">
        <v>1</v>
      </c>
      <c r="T622" s="12"/>
      <c r="U622" s="12"/>
      <c r="V622" s="12"/>
      <c r="W622" s="12"/>
      <c r="X622" s="12"/>
      <c r="Y622" s="12"/>
      <c r="Z622" s="12"/>
      <c r="AA622" s="12"/>
    </row>
    <row r="623" spans="1:29" ht="13" x14ac:dyDescent="0.3">
      <c r="A623" s="1" t="s">
        <v>73</v>
      </c>
      <c r="B623" s="111">
        <f>IF(AND('AES Indiana Sep 23 Bill Calc.'!$D$17="PH",'AES Indiana Sep 23 Bill Calc.'!$D$18="Yes 100%",'AES Indiana Sep 23 Bill Calc.'!$D$20="Yes Before 2018"),'AES Indiana Sep 23 Bill Calc.'!$D$19,-1)</f>
        <v>-1</v>
      </c>
      <c r="C623" s="111">
        <f>MAX(E623,$C$609)</f>
        <v>100</v>
      </c>
      <c r="D623" s="111" t="b">
        <f>IF(AND('AES Indiana Sep 23 Bill Calc.'!$D$17="PH",'AES Indiana Sep 23 Bill Calc.'!$D$18="Yes 100%",'AES Indiana Sep 23 Bill Calc.'!$D$20="Yes Before 2018"),'AES Indiana Sep 23 Bill Calc.'!$D$22)</f>
        <v>0</v>
      </c>
      <c r="E623" s="111" t="b">
        <f>IF(AND('AES Indiana Sep 23 Bill Calc.'!$D$17="PH",'AES Indiana Sep 23 Bill Calc.'!$D$18="Yes 100%",'AES Indiana Sep 23 Bill Calc.'!$D$20="Yes Before 2018"),'AES Indiana Sep 23 Bill Calc.'!$D$21)</f>
        <v>0</v>
      </c>
      <c r="F623" s="37" t="s">
        <v>115</v>
      </c>
      <c r="G623" s="165" t="e">
        <f>MAX(I623,P622)</f>
        <v>#N/A</v>
      </c>
      <c r="H623" s="19" t="e">
        <f>IF(ISBLANK(B623),0,+#REF!/B623)</f>
        <v>#REF!</v>
      </c>
      <c r="I623" s="140">
        <f>(E623*120*$K$608)+$J$608</f>
        <v>1231.26</v>
      </c>
      <c r="J623" s="53">
        <f>IF(ISBLANK(B623),0,+J$608)</f>
        <v>1231.26</v>
      </c>
      <c r="K623" s="16">
        <f>IF($B623&gt;K622,ROUND(K622*K$608,2),ROUND($B623*K$608,2))</f>
        <v>-0.08</v>
      </c>
      <c r="L623" s="17">
        <f>IF($B623&gt;K622,ROUND((B623-K622)*L$608,2),0)</f>
        <v>0</v>
      </c>
      <c r="M623" s="17">
        <f>IF($C623&gt;L$518,ROUND(($C623-L$518)*M$517,2),0)</f>
        <v>0</v>
      </c>
      <c r="N623" s="17">
        <f>SUM(K623:L623)</f>
        <v>-0.08</v>
      </c>
      <c r="O623" s="17"/>
      <c r="P623" s="12"/>
      <c r="Q623" s="17">
        <f t="shared" si="42"/>
        <v>0</v>
      </c>
      <c r="R623" s="16" t="e">
        <f>ROUND(SUM(K623:M623)*(R622-1),2)</f>
        <v>#N/A</v>
      </c>
      <c r="S623" s="17">
        <f>ROUND($B623*S$608*S622,2)</f>
        <v>0</v>
      </c>
      <c r="T623" s="17">
        <f>ROUND($B623*T$608,2)</f>
        <v>0</v>
      </c>
      <c r="U623" s="17">
        <f>ROUND($B623*U$608,2)</f>
        <v>0</v>
      </c>
      <c r="V623" s="17">
        <f>ROUND($B623*V$601,2)</f>
        <v>0</v>
      </c>
      <c r="W623" s="17">
        <f>ROUND($B623*W$608,2)</f>
        <v>0</v>
      </c>
      <c r="X623" s="17">
        <f>ROUND($B623*X$608,2)</f>
        <v>0</v>
      </c>
      <c r="Y623" s="17">
        <f>ROUND($B623*Y$608,2)</f>
        <v>0</v>
      </c>
      <c r="Z623" s="17">
        <f>ROUND($B623*Z$608,2)</f>
        <v>0</v>
      </c>
      <c r="AA623" s="17">
        <f>ROUND($B623*AA$608,2)</f>
        <v>0</v>
      </c>
      <c r="AB623" s="19">
        <f>SUM(U618:AA618)</f>
        <v>0</v>
      </c>
      <c r="AC623" s="78" t="str">
        <f>+F623</f>
        <v>PH7</v>
      </c>
    </row>
    <row r="624" spans="1:29" ht="13" x14ac:dyDescent="0.3">
      <c r="A624" s="9"/>
      <c r="B624" s="111">
        <v>-1</v>
      </c>
      <c r="D624" s="8"/>
      <c r="E624" s="9"/>
      <c r="F624" s="37"/>
      <c r="H624" s="12"/>
      <c r="I624" s="19"/>
      <c r="J624" s="12"/>
      <c r="K624" s="44">
        <f>ROUND(C625*K$609,0)</f>
        <v>25000</v>
      </c>
      <c r="L624" s="36">
        <f>+B625-K624</f>
        <v>-25001</v>
      </c>
      <c r="M624" s="12"/>
      <c r="N624" s="12"/>
      <c r="O624" s="12"/>
      <c r="P624" s="17" t="e">
        <f>SUM(J625:M625,R625:AA625)</f>
        <v>#N/A</v>
      </c>
      <c r="Q624" s="17">
        <f t="shared" si="42"/>
        <v>0</v>
      </c>
      <c r="R624" s="39" t="e">
        <f>VLOOKUP((D625),'Pwr Factor'!$A$1:$B$52,2)</f>
        <v>#N/A</v>
      </c>
      <c r="S624" s="51">
        <v>0.5</v>
      </c>
      <c r="T624" s="12"/>
      <c r="U624" s="12"/>
      <c r="V624" s="12"/>
      <c r="W624" s="12"/>
      <c r="X624" s="12"/>
      <c r="Y624" s="12"/>
      <c r="Z624" s="12"/>
      <c r="AA624" s="12"/>
    </row>
    <row r="625" spans="1:29" ht="13" x14ac:dyDescent="0.3">
      <c r="A625" s="57" t="s">
        <v>171</v>
      </c>
      <c r="B625" s="111">
        <f>IF(AND('AES Indiana Sep 23 Bill Calc.'!$D$17="PH",'AES Indiana Sep 23 Bill Calc.'!$D$18="Yes 50%",'AES Indiana Sep 23 Bill Calc.'!$D$20="Yes Before 2018"),'AES Indiana Sep 23 Bill Calc.'!$D$19,-1)</f>
        <v>-1</v>
      </c>
      <c r="C625" s="111">
        <f>MAX(E625,$C$609)</f>
        <v>100</v>
      </c>
      <c r="D625" s="111" t="b">
        <f>IF(AND('AES Indiana Sep 23 Bill Calc.'!$D$17="PH",'AES Indiana Sep 23 Bill Calc.'!$D$18="Yes 50%",'AES Indiana Sep 23 Bill Calc.'!$D$20="Yes Before 2018"),'AES Indiana Sep 23 Bill Calc.'!$D$22)</f>
        <v>0</v>
      </c>
      <c r="E625" s="111" t="b">
        <f>IF(AND('AES Indiana Sep 23 Bill Calc.'!$D$17="PH",'AES Indiana Sep 23 Bill Calc.'!$D$18="Yes 50%",'AES Indiana Sep 23 Bill Calc.'!$D$20="Yes Before 2018"),'AES Indiana Sep 23 Bill Calc.'!$D$21)</f>
        <v>0</v>
      </c>
      <c r="F625" s="37" t="s">
        <v>115</v>
      </c>
      <c r="G625" s="165" t="e">
        <f>MAX(I625,P624)</f>
        <v>#N/A</v>
      </c>
      <c r="H625" s="19" t="e">
        <f>IF(ISBLANK(B625),0,+#REF!/B625)</f>
        <v>#REF!</v>
      </c>
      <c r="I625" s="140">
        <f>(E625*120*$K$608)+$J$608</f>
        <v>1231.26</v>
      </c>
      <c r="J625" s="53">
        <f>IF(ISBLANK(B625),0,+J$608)</f>
        <v>1231.26</v>
      </c>
      <c r="K625" s="16">
        <f>IF($B625&gt;K624,ROUND(K624*K$608,2),ROUND($B625*K$608,2))</f>
        <v>-0.08</v>
      </c>
      <c r="L625" s="17">
        <f>IF($B625&gt;K624,ROUND((B625-K624)*L$608,2),0)</f>
        <v>0</v>
      </c>
      <c r="M625" s="17">
        <f>IF($C625&gt;L$518,ROUND(($C625-L$518)*M$517,2),0)</f>
        <v>0</v>
      </c>
      <c r="N625" s="17">
        <f>SUM(K625:L625)</f>
        <v>-0.08</v>
      </c>
      <c r="O625" s="17"/>
      <c r="P625" s="12"/>
      <c r="Q625" s="17">
        <f t="shared" si="42"/>
        <v>0</v>
      </c>
      <c r="R625" s="16" t="e">
        <f>ROUND(SUM(K625:M625)*(R624-1),2)</f>
        <v>#N/A</v>
      </c>
      <c r="S625" s="17">
        <f>ROUND($B625*S$608*S624,2)</f>
        <v>0</v>
      </c>
      <c r="T625" s="17">
        <f>ROUND($B625*T$608,2)</f>
        <v>0</v>
      </c>
      <c r="U625" s="17">
        <f>ROUND($B625*U$608,2)</f>
        <v>0</v>
      </c>
      <c r="V625" s="17">
        <f>ROUND($B625*V$601,2)</f>
        <v>0</v>
      </c>
      <c r="W625" s="17">
        <f>ROUND($B625*W$608,2)</f>
        <v>0</v>
      </c>
      <c r="X625" s="17">
        <f>ROUND($B625*X$608,2)</f>
        <v>0</v>
      </c>
      <c r="Y625" s="17">
        <f>ROUND($B625*Y$608,2)</f>
        <v>0</v>
      </c>
      <c r="Z625" s="17">
        <f>ROUND($B625*Z$608,2)</f>
        <v>0</v>
      </c>
      <c r="AA625" s="17">
        <f>ROUND($B625*AA$608,2)</f>
        <v>0</v>
      </c>
      <c r="AB625" s="19">
        <f>SUM(U620:AA620)</f>
        <v>0</v>
      </c>
      <c r="AC625" s="78" t="str">
        <f>+F625</f>
        <v>PH7</v>
      </c>
    </row>
    <row r="626" spans="1:29" ht="13" x14ac:dyDescent="0.3">
      <c r="A626" s="9"/>
      <c r="B626" s="111">
        <v>-1</v>
      </c>
      <c r="D626" s="8"/>
      <c r="E626" s="9"/>
      <c r="F626" s="37"/>
      <c r="H626" s="12"/>
      <c r="I626" s="19"/>
      <c r="J626" s="12"/>
      <c r="K626" s="44">
        <f>ROUND(C627*K$609,0)</f>
        <v>25000</v>
      </c>
      <c r="L626" s="36">
        <f>+B627-K626</f>
        <v>-25001</v>
      </c>
      <c r="M626" s="12"/>
      <c r="N626" s="12"/>
      <c r="O626" s="12"/>
      <c r="P626" s="17" t="e">
        <f>SUM(J627:M627,R627:AA627)</f>
        <v>#N/A</v>
      </c>
      <c r="Q626" s="17">
        <f t="shared" si="42"/>
        <v>0</v>
      </c>
      <c r="R626" s="39" t="e">
        <f>VLOOKUP((D627),'Pwr Factor'!$A$1:$B$52,2)</f>
        <v>#N/A</v>
      </c>
      <c r="S626" s="51">
        <v>0.25</v>
      </c>
      <c r="T626" s="12"/>
      <c r="U626" s="12"/>
      <c r="V626" s="12"/>
      <c r="W626" s="12"/>
      <c r="X626" s="12"/>
      <c r="Y626" s="12"/>
      <c r="Z626" s="12"/>
      <c r="AA626" s="12"/>
    </row>
    <row r="627" spans="1:29" ht="13" x14ac:dyDescent="0.3">
      <c r="A627" s="57" t="s">
        <v>158</v>
      </c>
      <c r="B627" s="111">
        <f>IF(AND('AES Indiana Sep 23 Bill Calc.'!$D$17="PH",'AES Indiana Sep 23 Bill Calc.'!$D$18="Yes 25%",'AES Indiana Sep 23 Bill Calc.'!$D$20="Yes Before 2018"),'AES Indiana Sep 23 Bill Calc.'!$D$19,-1)</f>
        <v>-1</v>
      </c>
      <c r="C627" s="111">
        <f>MAX(E627,$C$609)</f>
        <v>100</v>
      </c>
      <c r="D627" s="111" t="b">
        <f>IF(AND('AES Indiana Sep 23 Bill Calc.'!$D$17="PH",'AES Indiana Sep 23 Bill Calc.'!$D$18="Yes 25%",'AES Indiana Sep 23 Bill Calc.'!$D$20="Yes Before 2018"),'AES Indiana Sep 23 Bill Calc.'!$D$22)</f>
        <v>0</v>
      </c>
      <c r="E627" s="111" t="b">
        <f>IF(AND('AES Indiana Sep 23 Bill Calc.'!$D$17="PH",'AES Indiana Sep 23 Bill Calc.'!$D$18="Yes 25%",'AES Indiana Sep 23 Bill Calc.'!$D$20="Yes Before 2018"),'AES Indiana Sep 23 Bill Calc.'!$D$21)</f>
        <v>0</v>
      </c>
      <c r="F627" s="37" t="s">
        <v>115</v>
      </c>
      <c r="G627" s="165" t="e">
        <f>MAX(I627,P626)</f>
        <v>#N/A</v>
      </c>
      <c r="H627" s="19" t="e">
        <f>IF(ISBLANK(B627),0,+#REF!/B627)</f>
        <v>#REF!</v>
      </c>
      <c r="I627" s="140">
        <f>(E627*120*$K$608)+$J$608</f>
        <v>1231.26</v>
      </c>
      <c r="J627" s="53">
        <f>IF(ISBLANK(B627),0,+J$608)</f>
        <v>1231.26</v>
      </c>
      <c r="K627" s="16">
        <f>IF($B627&gt;K626,ROUND(K626*K$608,2),ROUND($B627*K$608,2))</f>
        <v>-0.08</v>
      </c>
      <c r="L627" s="17">
        <f>IF($B627&gt;K626,ROUND((B627-K626)*L$608,2),0)</f>
        <v>0</v>
      </c>
      <c r="M627" s="17">
        <f>IF($C627&gt;L$518,ROUND(($C627-L$518)*M$517,2),0)</f>
        <v>0</v>
      </c>
      <c r="N627" s="17">
        <f>SUM(K627:L627)</f>
        <v>-0.08</v>
      </c>
      <c r="O627" s="17"/>
      <c r="P627" s="12"/>
      <c r="Q627" s="17">
        <f t="shared" si="42"/>
        <v>0</v>
      </c>
      <c r="R627" s="16" t="e">
        <f>ROUND(SUM(K627:M627)*(R626-1),2)</f>
        <v>#N/A</v>
      </c>
      <c r="S627" s="17">
        <f>ROUND($B627*S$608*S626,2)</f>
        <v>0</v>
      </c>
      <c r="T627" s="17">
        <f>ROUND($B627*T$608,2)</f>
        <v>0</v>
      </c>
      <c r="U627" s="17">
        <f>ROUND($B627*U$608,2)</f>
        <v>0</v>
      </c>
      <c r="V627" s="17">
        <f>ROUND($B627*V$601,2)</f>
        <v>0</v>
      </c>
      <c r="W627" s="17">
        <f>ROUND($B627*W$608,2)</f>
        <v>0</v>
      </c>
      <c r="X627" s="17">
        <f>ROUND($B627*X$608,2)</f>
        <v>0</v>
      </c>
      <c r="Y627" s="17">
        <f>ROUND($B627*Y$608,2)</f>
        <v>0</v>
      </c>
      <c r="Z627" s="17">
        <f>ROUND($B627*Z$608,2)</f>
        <v>0</v>
      </c>
      <c r="AA627" s="17">
        <f>ROUND($B627*AA$608,2)</f>
        <v>0</v>
      </c>
      <c r="AB627" s="19">
        <f>SUM(U622:AA622)</f>
        <v>0</v>
      </c>
      <c r="AC627" s="78" t="str">
        <f>+F627</f>
        <v>PH7</v>
      </c>
    </row>
    <row r="628" spans="1:29" ht="13" x14ac:dyDescent="0.3">
      <c r="A628" s="9"/>
      <c r="B628" s="111">
        <v>-1</v>
      </c>
      <c r="D628" s="8"/>
      <c r="E628" s="9"/>
      <c r="F628" s="37"/>
      <c r="H628" s="12"/>
      <c r="I628" s="19"/>
      <c r="J628" s="12"/>
      <c r="K628" s="44">
        <f>ROUND(C629*K$609,0)</f>
        <v>25000</v>
      </c>
      <c r="L628" s="36">
        <f>+B629-K628</f>
        <v>-25001</v>
      </c>
      <c r="M628" s="12"/>
      <c r="N628" s="12"/>
      <c r="O628" s="12"/>
      <c r="P628" s="17" t="e">
        <f>SUM(J629:M629,R629:AA629)</f>
        <v>#N/A</v>
      </c>
      <c r="Q628" s="17">
        <f t="shared" si="42"/>
        <v>0</v>
      </c>
      <c r="R628" s="39" t="e">
        <f>VLOOKUP((D629),'Pwr Factor'!$A$1:$B$52,2)</f>
        <v>#N/A</v>
      </c>
      <c r="S628" s="51">
        <v>0.1</v>
      </c>
      <c r="T628" s="12"/>
      <c r="U628" s="12"/>
      <c r="V628" s="12"/>
      <c r="W628" s="12"/>
      <c r="X628" s="12"/>
      <c r="Y628" s="12"/>
      <c r="Z628" s="12"/>
      <c r="AA628" s="12"/>
    </row>
    <row r="629" spans="1:29" ht="13" x14ac:dyDescent="0.3">
      <c r="A629" s="57" t="s">
        <v>173</v>
      </c>
      <c r="B629" s="111">
        <f>IF(AND('AES Indiana Sep 23 Bill Calc.'!$D$17="PH",'AES Indiana Sep 23 Bill Calc.'!$D$18="Yes 10%",'AES Indiana Sep 23 Bill Calc.'!$D$20="Yes Before 2018"),'AES Indiana Sep 23 Bill Calc.'!$D$19,-1)</f>
        <v>-1</v>
      </c>
      <c r="C629" s="111">
        <f>MAX(E629,$C$609)</f>
        <v>100</v>
      </c>
      <c r="D629" s="111" t="b">
        <f>IF(AND('AES Indiana Sep 23 Bill Calc.'!$D$17="PH",'AES Indiana Sep 23 Bill Calc.'!$D$18="Yes 10%",'AES Indiana Sep 23 Bill Calc.'!$D$20="Yes Before 2018"),'AES Indiana Sep 23 Bill Calc.'!$D$22)</f>
        <v>0</v>
      </c>
      <c r="E629" s="111" t="b">
        <f>IF(AND('AES Indiana Sep 23 Bill Calc.'!$D$17="PH",'AES Indiana Sep 23 Bill Calc.'!$D$18="Yes 10%",'AES Indiana Sep 23 Bill Calc.'!$D$20="Yes Before 2018"),'AES Indiana Sep 23 Bill Calc.'!$D$21)</f>
        <v>0</v>
      </c>
      <c r="F629" s="37" t="s">
        <v>115</v>
      </c>
      <c r="G629" s="165" t="e">
        <f>MAX(I629,P628)</f>
        <v>#N/A</v>
      </c>
      <c r="H629" s="19" t="e">
        <f>IF(ISBLANK(B629),0,+#REF!/B629)</f>
        <v>#REF!</v>
      </c>
      <c r="I629" s="140">
        <f>(E629*120*$K$608)+$J$608</f>
        <v>1231.26</v>
      </c>
      <c r="J629" s="53">
        <f>IF(ISBLANK(B629),0,+J$608)</f>
        <v>1231.26</v>
      </c>
      <c r="K629" s="16">
        <f>IF($B629&gt;K628,ROUND(K628*K$608,2),ROUND($B629*K$608,2))</f>
        <v>-0.08</v>
      </c>
      <c r="L629" s="17">
        <f>IF($B629&gt;K628,ROUND((B629-K628)*L$608,2),0)</f>
        <v>0</v>
      </c>
      <c r="M629" s="17">
        <f>IF($C629&gt;L$518,ROUND(($C629-L$518)*M$517,2),0)</f>
        <v>0</v>
      </c>
      <c r="N629" s="17">
        <f>SUM(K629:L629)</f>
        <v>-0.08</v>
      </c>
      <c r="O629" s="17"/>
      <c r="P629" s="12"/>
      <c r="Q629" s="17">
        <f t="shared" si="42"/>
        <v>0</v>
      </c>
      <c r="R629" s="16" t="e">
        <f>ROUND(SUM(K629:M629)*(R628-1),2)</f>
        <v>#N/A</v>
      </c>
      <c r="S629" s="17">
        <f>ROUND($B629*S$608*S628,2)</f>
        <v>0</v>
      </c>
      <c r="T629" s="17">
        <f>ROUND($B629*T$608,2)</f>
        <v>0</v>
      </c>
      <c r="U629" s="17">
        <f>ROUND($B629*U$608,2)</f>
        <v>0</v>
      </c>
      <c r="V629" s="17">
        <f>ROUND($B629*V$601,2)</f>
        <v>0</v>
      </c>
      <c r="W629" s="17">
        <f>ROUND($B629*W$608,2)</f>
        <v>0</v>
      </c>
      <c r="X629" s="17">
        <f>ROUND($B629*X$608,2)</f>
        <v>0</v>
      </c>
      <c r="Y629" s="17">
        <f>ROUND($B629*Y$608,2)</f>
        <v>0</v>
      </c>
      <c r="Z629" s="17">
        <f>ROUND($B629*Z$608,2)</f>
        <v>0</v>
      </c>
      <c r="AA629" s="17">
        <f>ROUND($B629*AA$608,2)</f>
        <v>0</v>
      </c>
      <c r="AB629" s="19">
        <f>SUM(U624:AA624)</f>
        <v>0</v>
      </c>
      <c r="AC629" s="78" t="str">
        <f>+F629</f>
        <v>PH7</v>
      </c>
    </row>
    <row r="630" spans="1:29" ht="13" x14ac:dyDescent="0.3">
      <c r="A630" s="9"/>
      <c r="B630" s="111">
        <v>-1</v>
      </c>
      <c r="D630" s="8"/>
      <c r="E630" s="9"/>
      <c r="F630" s="37"/>
      <c r="H630" s="12"/>
      <c r="I630" s="19"/>
      <c r="J630" s="12"/>
      <c r="K630" s="44">
        <f>ROUND(C631*K$609,0)</f>
        <v>25000</v>
      </c>
      <c r="L630" s="36">
        <f>+B631-K630</f>
        <v>-25001</v>
      </c>
      <c r="M630" s="12"/>
      <c r="N630" s="12"/>
      <c r="O630" s="12"/>
      <c r="P630" s="17" t="e">
        <f>SUM(J631:M631,R631:AA631)</f>
        <v>#N/A</v>
      </c>
      <c r="Q630" s="17">
        <f t="shared" si="42"/>
        <v>0</v>
      </c>
      <c r="R630" s="39" t="e">
        <f>VLOOKUP((D631),'Pwr Factor'!$A$1:$B$52,2)</f>
        <v>#N/A</v>
      </c>
      <c r="S630" s="51">
        <v>0</v>
      </c>
      <c r="T630" s="12"/>
      <c r="U630" s="12"/>
      <c r="V630" s="12"/>
      <c r="W630" s="12"/>
      <c r="X630" s="12"/>
      <c r="Y630" s="12"/>
      <c r="Z630" s="12"/>
      <c r="AA630" s="12"/>
    </row>
    <row r="631" spans="1:29" ht="13" x14ac:dyDescent="0.3">
      <c r="A631" s="57" t="s">
        <v>172</v>
      </c>
      <c r="B631" s="111">
        <f>IF(AND('AES Indiana Sep 23 Bill Calc.'!$D$17="PH",'AES Indiana Sep 23 Bill Calc.'!$D$18="No",'AES Indiana Sep 23 Bill Calc.'!$D$20="Yes Before 2018"),'AES Indiana Sep 23 Bill Calc.'!$D$19,-1)</f>
        <v>-1</v>
      </c>
      <c r="C631" s="111">
        <f>MAX(E631,$C$609)</f>
        <v>100</v>
      </c>
      <c r="D631" s="111" t="b">
        <f>IF(AND('AES Indiana Sep 23 Bill Calc.'!$D$17="PH",'AES Indiana Sep 23 Bill Calc.'!$D$18="No",'AES Indiana Sep 23 Bill Calc.'!$D$20="Yes Before 2018"),'AES Indiana Sep 23 Bill Calc.'!$D$22)</f>
        <v>0</v>
      </c>
      <c r="E631" s="111" t="b">
        <f>IF(AND('AES Indiana Sep 23 Bill Calc.'!$D$17="PH",'AES Indiana Sep 23 Bill Calc.'!$D$18="No",'AES Indiana Sep 23 Bill Calc.'!$D$20="Yes Before 2018"),'AES Indiana Sep 23 Bill Calc.'!$D$21)</f>
        <v>0</v>
      </c>
      <c r="F631" s="37" t="s">
        <v>115</v>
      </c>
      <c r="G631" s="165" t="e">
        <f>MAX(I631,P630)</f>
        <v>#N/A</v>
      </c>
      <c r="H631" s="19" t="e">
        <f>IF(ISBLANK(B631),0,+#REF!/B631)</f>
        <v>#REF!</v>
      </c>
      <c r="I631" s="140">
        <f>(E631*120*$K$608)+$J$608</f>
        <v>1231.26</v>
      </c>
      <c r="J631" s="53">
        <f>IF(ISBLANK(B631),0,+J$608)</f>
        <v>1231.26</v>
      </c>
      <c r="K631" s="16">
        <f>IF($B631&gt;K630,ROUND(K630*K$608,2),ROUND($B631*K$608,2))</f>
        <v>-0.08</v>
      </c>
      <c r="L631" s="17">
        <f>IF($B631&gt;K630,ROUND((B631-K630)*L$608,2),0)</f>
        <v>0</v>
      </c>
      <c r="M631" s="17">
        <f>IF($C631&gt;L$518,ROUND(($C631-L$518)*M$517,2),0)</f>
        <v>0</v>
      </c>
      <c r="N631" s="17">
        <f>SUM(K631:L631)</f>
        <v>-0.08</v>
      </c>
      <c r="O631" s="17"/>
      <c r="P631" s="12"/>
      <c r="Q631" s="17">
        <f t="shared" si="42"/>
        <v>0</v>
      </c>
      <c r="R631" s="16" t="e">
        <f>ROUND(SUM(K631:M631)*(R630-1),2)</f>
        <v>#N/A</v>
      </c>
      <c r="S631" s="17">
        <f>ROUND($B631*S$608*S630,2)</f>
        <v>0</v>
      </c>
      <c r="T631" s="17">
        <f>ROUND($B631*T$608,2)</f>
        <v>0</v>
      </c>
      <c r="U631" s="17">
        <f>ROUND($B631*U$608,2)</f>
        <v>0</v>
      </c>
      <c r="V631" s="17">
        <f>ROUND($B631*V$601,2)</f>
        <v>0</v>
      </c>
      <c r="W631" s="17">
        <f>ROUND($B631*W$608,2)</f>
        <v>0</v>
      </c>
      <c r="X631" s="17">
        <f>ROUND($B631*X$608,2)</f>
        <v>0</v>
      </c>
      <c r="Y631" s="17">
        <f>ROUND($B631*Y$608,2)</f>
        <v>0</v>
      </c>
      <c r="Z631" s="17">
        <f>ROUND($B631*Z$608,2)</f>
        <v>0</v>
      </c>
      <c r="AA631" s="17">
        <f>ROUND($B631*AA$608,2)</f>
        <v>0</v>
      </c>
      <c r="AB631" s="19">
        <f>SUM(U626:AA626)</f>
        <v>0</v>
      </c>
      <c r="AC631" s="78" t="str">
        <f>+F631</f>
        <v>PH7</v>
      </c>
    </row>
    <row r="632" spans="1:29" ht="13" x14ac:dyDescent="0.3">
      <c r="A632" s="9"/>
      <c r="B632" s="111">
        <v>-1</v>
      </c>
      <c r="D632" s="8"/>
      <c r="E632" s="9"/>
      <c r="F632" s="37"/>
      <c r="H632" s="12"/>
      <c r="I632" s="19"/>
      <c r="J632" s="12"/>
      <c r="K632" s="44">
        <f>ROUND(C633*K$609,0)</f>
        <v>25000</v>
      </c>
      <c r="L632" s="36">
        <f>+B633-K632</f>
        <v>-25001</v>
      </c>
      <c r="M632" s="12"/>
      <c r="N632" s="12"/>
      <c r="O632" s="12"/>
      <c r="P632" s="17" t="e">
        <f>SUM(J633:M633,R633:AA633)</f>
        <v>#N/A</v>
      </c>
      <c r="Q632" s="17">
        <f t="shared" si="42"/>
        <v>0</v>
      </c>
      <c r="R632" s="39" t="e">
        <f>VLOOKUP((D633),'Pwr Factor'!$A$1:$B$52,2)</f>
        <v>#N/A</v>
      </c>
      <c r="S632" s="51">
        <v>1</v>
      </c>
      <c r="T632" s="12"/>
      <c r="U632" s="12"/>
      <c r="V632" s="12"/>
      <c r="W632" s="12"/>
      <c r="X632" s="12"/>
      <c r="Y632" s="12"/>
      <c r="Z632" s="12"/>
      <c r="AA632" s="12"/>
    </row>
    <row r="633" spans="1:29" ht="13" x14ac:dyDescent="0.3">
      <c r="A633" s="1" t="s">
        <v>73</v>
      </c>
      <c r="B633" s="111">
        <f>IF(AND('AES Indiana Sep 23 Bill Calc.'!$D$17="PH",'AES Indiana Sep 23 Bill Calc.'!$D$18="Yes 100%",'AES Indiana Sep 23 Bill Calc.'!$D$20="Yes 2018"),'AES Indiana Sep 23 Bill Calc.'!$D$19,-1)</f>
        <v>-1</v>
      </c>
      <c r="C633" s="111">
        <f>MAX(E633,$C$609)</f>
        <v>100</v>
      </c>
      <c r="D633" s="111" t="b">
        <f>IF(AND('AES Indiana Sep 23 Bill Calc.'!$D$17="PH",'AES Indiana Sep 23 Bill Calc.'!$D$18="Yes 100%",'AES Indiana Sep 23 Bill Calc.'!$D$20="Yes 2018"),'AES Indiana Sep 23 Bill Calc.'!$D$22)</f>
        <v>0</v>
      </c>
      <c r="E633" s="111" t="b">
        <f>IF(AND('AES Indiana Sep 23 Bill Calc.'!$D$17="PH",'AES Indiana Sep 23 Bill Calc.'!$D$18="Yes 100%",'AES Indiana Sep 23 Bill Calc.'!$D$20="Yes 2018"),'AES Indiana Sep 23 Bill Calc.'!$D$21)</f>
        <v>0</v>
      </c>
      <c r="F633" s="37" t="s">
        <v>127</v>
      </c>
      <c r="G633" s="165" t="e">
        <f>MAX(I633,P632)</f>
        <v>#N/A</v>
      </c>
      <c r="H633" s="19" t="e">
        <f>IF(ISBLANK(B633),0,+#REF!/B633)</f>
        <v>#REF!</v>
      </c>
      <c r="I633" s="140">
        <f>(E633*120*$K$608)+$J$608</f>
        <v>1231.26</v>
      </c>
      <c r="J633" s="53">
        <f>IF(ISBLANK(B633),0,+J$608)</f>
        <v>1231.26</v>
      </c>
      <c r="K633" s="16">
        <f>IF($B633&gt;K632,ROUND(K632*K$608,2),ROUND($B633*K$608,2))</f>
        <v>-0.08</v>
      </c>
      <c r="L633" s="17">
        <f>IF($B633&gt;K632,ROUND((B633-K632)*L$608,2),0)</f>
        <v>0</v>
      </c>
      <c r="M633" s="17">
        <f>IF($C633&gt;L$518,ROUND(($C633-L$518)*M$517,2),0)</f>
        <v>0</v>
      </c>
      <c r="N633" s="17">
        <f>SUM(K633:L633)</f>
        <v>-0.08</v>
      </c>
      <c r="O633" s="17"/>
      <c r="P633" s="12"/>
      <c r="Q633" s="17">
        <f t="shared" si="42"/>
        <v>0</v>
      </c>
      <c r="R633" s="16" t="e">
        <f>ROUND(SUM(K633:M633)*(R632-1),2)</f>
        <v>#N/A</v>
      </c>
      <c r="S633" s="17">
        <f>ROUND($B633*S$608*S632,2)</f>
        <v>0</v>
      </c>
      <c r="T633" s="17">
        <f>ROUND($B633*T$608,2)</f>
        <v>0</v>
      </c>
      <c r="U633" s="17">
        <f>ROUND($B633*U$608,2)</f>
        <v>0</v>
      </c>
      <c r="V633" s="17">
        <f>ROUND($B633*V$602,2)</f>
        <v>0</v>
      </c>
      <c r="W633" s="17">
        <f>ROUND($B633*W$608,2)</f>
        <v>0</v>
      </c>
      <c r="X633" s="17">
        <f>ROUND($B633*X$608,2)</f>
        <v>0</v>
      </c>
      <c r="Y633" s="17">
        <f>ROUND($B633*Y$608,2)</f>
        <v>0</v>
      </c>
      <c r="Z633" s="17">
        <f>ROUND($B633*Z$608,2)</f>
        <v>0</v>
      </c>
      <c r="AA633" s="17">
        <f>ROUND($B633*AA$608,2)</f>
        <v>0</v>
      </c>
      <c r="AB633" s="19">
        <f>SUM(U628:AA628)</f>
        <v>0</v>
      </c>
      <c r="AC633" s="78" t="str">
        <f>+F633</f>
        <v>PH8</v>
      </c>
    </row>
    <row r="634" spans="1:29" ht="13" x14ac:dyDescent="0.3">
      <c r="A634" s="9"/>
      <c r="B634" s="111">
        <v>-1</v>
      </c>
      <c r="D634" s="8"/>
      <c r="E634" s="9"/>
      <c r="F634" s="37"/>
      <c r="H634" s="12"/>
      <c r="I634" s="19"/>
      <c r="J634" s="12"/>
      <c r="K634" s="44">
        <f>ROUND(C635*K$609,0)</f>
        <v>25000</v>
      </c>
      <c r="L634" s="36">
        <f>+B635-K634</f>
        <v>-25001</v>
      </c>
      <c r="M634" s="12"/>
      <c r="N634" s="12"/>
      <c r="O634" s="12"/>
      <c r="P634" s="17" t="e">
        <f>SUM(J635:M635,R635:AA635)</f>
        <v>#N/A</v>
      </c>
      <c r="Q634" s="17">
        <f t="shared" si="42"/>
        <v>0</v>
      </c>
      <c r="R634" s="39" t="e">
        <f>VLOOKUP((D635),'Pwr Factor'!$A$1:$B$52,2)</f>
        <v>#N/A</v>
      </c>
      <c r="S634" s="51">
        <v>0.5</v>
      </c>
      <c r="T634" s="12"/>
      <c r="U634" s="12"/>
      <c r="V634" s="12"/>
      <c r="W634" s="12"/>
      <c r="X634" s="12"/>
      <c r="Y634" s="12"/>
      <c r="Z634" s="12"/>
      <c r="AA634" s="12"/>
    </row>
    <row r="635" spans="1:29" ht="13" x14ac:dyDescent="0.3">
      <c r="A635" s="57" t="s">
        <v>171</v>
      </c>
      <c r="B635" s="111">
        <f>IF(AND('AES Indiana Sep 23 Bill Calc.'!$D$17="PH",'AES Indiana Sep 23 Bill Calc.'!$D$18="Yes 50%",'AES Indiana Sep 23 Bill Calc.'!$D$20="Yes 2018"),'AES Indiana Sep 23 Bill Calc.'!$D$19,-1)</f>
        <v>-1</v>
      </c>
      <c r="C635" s="111">
        <f>MAX(E635,$C$609)</f>
        <v>100</v>
      </c>
      <c r="D635" s="111" t="b">
        <f>IF(AND('AES Indiana Sep 23 Bill Calc.'!$D$17="PH",'AES Indiana Sep 23 Bill Calc.'!$D$18="Yes 50%",'AES Indiana Sep 23 Bill Calc.'!$D$20="Yes 2018"),'AES Indiana Sep 23 Bill Calc.'!$D$22)</f>
        <v>0</v>
      </c>
      <c r="E635" s="111" t="b">
        <f>IF(AND('AES Indiana Sep 23 Bill Calc.'!$D$17="PH",'AES Indiana Sep 23 Bill Calc.'!$D$18="Yes 50%",'AES Indiana Sep 23 Bill Calc.'!$D$20="Yes 2018"),'AES Indiana Sep 23 Bill Calc.'!$D$21)</f>
        <v>0</v>
      </c>
      <c r="F635" s="37" t="s">
        <v>127</v>
      </c>
      <c r="G635" s="165" t="e">
        <f>MAX(I635,P634)</f>
        <v>#N/A</v>
      </c>
      <c r="H635" s="19" t="e">
        <f>IF(ISBLANK(B635),0,+#REF!/B635)</f>
        <v>#REF!</v>
      </c>
      <c r="I635" s="140">
        <f>(E635*120*$K$608)+$J$608</f>
        <v>1231.26</v>
      </c>
      <c r="J635" s="53">
        <f>IF(ISBLANK(B635),0,+J$608)</f>
        <v>1231.26</v>
      </c>
      <c r="K635" s="16">
        <f>IF($B635&gt;K634,ROUND(K634*K$608,2),ROUND($B635*K$608,2))</f>
        <v>-0.08</v>
      </c>
      <c r="L635" s="17">
        <f>IF($B635&gt;K634,ROUND((B635-K634)*L$608,2),0)</f>
        <v>0</v>
      </c>
      <c r="M635" s="17">
        <f>IF($C635&gt;L$518,ROUND(($C635-L$518)*M$517,2),0)</f>
        <v>0</v>
      </c>
      <c r="N635" s="17">
        <f>SUM(K635:L635)</f>
        <v>-0.08</v>
      </c>
      <c r="O635" s="17"/>
      <c r="P635" s="12"/>
      <c r="Q635" s="17">
        <f t="shared" si="42"/>
        <v>0</v>
      </c>
      <c r="R635" s="16" t="e">
        <f>ROUND(SUM(K635:M635)*(R634-1),2)</f>
        <v>#N/A</v>
      </c>
      <c r="S635" s="17">
        <f>ROUND($B635*S$608*S634,2)</f>
        <v>0</v>
      </c>
      <c r="T635" s="17">
        <f>ROUND($B635*T$608,2)</f>
        <v>0</v>
      </c>
      <c r="U635" s="17">
        <f>ROUND($B635*U$608,2)</f>
        <v>0</v>
      </c>
      <c r="V635" s="17">
        <f>ROUND($B635*V$602,2)</f>
        <v>0</v>
      </c>
      <c r="W635" s="17">
        <f>ROUND($B635*W$608,2)</f>
        <v>0</v>
      </c>
      <c r="X635" s="17">
        <f>ROUND($B635*X$608,2)</f>
        <v>0</v>
      </c>
      <c r="Y635" s="17">
        <f>ROUND($B635*Y$608,2)</f>
        <v>0</v>
      </c>
      <c r="Z635" s="17">
        <f>ROUND($B635*Z$608,2)</f>
        <v>0</v>
      </c>
      <c r="AA635" s="17">
        <f>ROUND($B635*AA$608,2)</f>
        <v>0</v>
      </c>
      <c r="AB635" s="19">
        <f>SUM(U630:AA630)</f>
        <v>0</v>
      </c>
      <c r="AC635" s="78" t="str">
        <f>+F635</f>
        <v>PH8</v>
      </c>
    </row>
    <row r="636" spans="1:29" ht="13" x14ac:dyDescent="0.3">
      <c r="A636" s="9"/>
      <c r="B636" s="111">
        <v>-1</v>
      </c>
      <c r="D636" s="8"/>
      <c r="E636" s="9"/>
      <c r="F636" s="37"/>
      <c r="H636" s="12"/>
      <c r="I636" s="19"/>
      <c r="J636" s="12"/>
      <c r="K636" s="44">
        <f>ROUND(C637*K$609,0)</f>
        <v>25000</v>
      </c>
      <c r="L636" s="36">
        <f>+B637-K636</f>
        <v>-25001</v>
      </c>
      <c r="M636" s="12"/>
      <c r="N636" s="12"/>
      <c r="O636" s="12"/>
      <c r="P636" s="17" t="e">
        <f>SUM(J637:M637,R637:AA637)</f>
        <v>#N/A</v>
      </c>
      <c r="Q636" s="17">
        <f t="shared" si="42"/>
        <v>0</v>
      </c>
      <c r="R636" s="39" t="e">
        <f>VLOOKUP((D637),'Pwr Factor'!$A$1:$B$52,2)</f>
        <v>#N/A</v>
      </c>
      <c r="S636" s="51">
        <v>0.25</v>
      </c>
      <c r="T636" s="12"/>
      <c r="U636" s="12"/>
      <c r="V636" s="12"/>
      <c r="W636" s="12"/>
      <c r="X636" s="12"/>
      <c r="Y636" s="12"/>
      <c r="Z636" s="12"/>
      <c r="AA636" s="12"/>
    </row>
    <row r="637" spans="1:29" ht="13" x14ac:dyDescent="0.3">
      <c r="A637" s="57" t="s">
        <v>158</v>
      </c>
      <c r="B637" s="111">
        <f>IF(AND('AES Indiana Sep 23 Bill Calc.'!$D$17="PH",'AES Indiana Sep 23 Bill Calc.'!$D$18="Yes 25%",'AES Indiana Sep 23 Bill Calc.'!$D$20="Yes 2018"),'AES Indiana Sep 23 Bill Calc.'!$D$19,-1)</f>
        <v>-1</v>
      </c>
      <c r="C637" s="111">
        <f>MAX(E637,$C$609)</f>
        <v>100</v>
      </c>
      <c r="D637" s="111" t="b">
        <f>IF(AND('AES Indiana Sep 23 Bill Calc.'!$D$17="PH",'AES Indiana Sep 23 Bill Calc.'!$D$18="Yes 25%",'AES Indiana Sep 23 Bill Calc.'!$D$20="Yes 2018"),'AES Indiana Sep 23 Bill Calc.'!$D$22)</f>
        <v>0</v>
      </c>
      <c r="E637" s="111" t="b">
        <f>IF(AND('AES Indiana Sep 23 Bill Calc.'!$D$17="PH",'AES Indiana Sep 23 Bill Calc.'!$D$18="Yes 25%",'AES Indiana Sep 23 Bill Calc.'!$D$20="Yes 2018"),'AES Indiana Sep 23 Bill Calc.'!$D$21)</f>
        <v>0</v>
      </c>
      <c r="F637" s="37" t="s">
        <v>127</v>
      </c>
      <c r="G637" s="165" t="e">
        <f>MAX(I637,P636)</f>
        <v>#N/A</v>
      </c>
      <c r="H637" s="19" t="e">
        <f>IF(ISBLANK(B637),0,+#REF!/B637)</f>
        <v>#REF!</v>
      </c>
      <c r="I637" s="140">
        <f>(E637*120*$K$608)+$J$608</f>
        <v>1231.26</v>
      </c>
      <c r="J637" s="53">
        <f>IF(ISBLANK(B637),0,+J$608)</f>
        <v>1231.26</v>
      </c>
      <c r="K637" s="16">
        <f>IF($B637&gt;K636,ROUND(K636*K$608,2),ROUND($B637*K$608,2))</f>
        <v>-0.08</v>
      </c>
      <c r="L637" s="17">
        <f>IF($B637&gt;K636,ROUND((B637-K636)*L$608,2),0)</f>
        <v>0</v>
      </c>
      <c r="M637" s="17">
        <f>IF($C637&gt;L$518,ROUND(($C637-L$518)*M$517,2),0)</f>
        <v>0</v>
      </c>
      <c r="N637" s="17">
        <f>SUM(K637:L637)</f>
        <v>-0.08</v>
      </c>
      <c r="O637" s="17"/>
      <c r="P637" s="12"/>
      <c r="Q637" s="17">
        <f t="shared" si="42"/>
        <v>0</v>
      </c>
      <c r="R637" s="16" t="e">
        <f>ROUND(SUM(K637:M637)*(R636-1),2)</f>
        <v>#N/A</v>
      </c>
      <c r="S637" s="17">
        <f>ROUND($B637*S$608*S636,2)</f>
        <v>0</v>
      </c>
      <c r="T637" s="17">
        <f>ROUND($B637*T$608,2)</f>
        <v>0</v>
      </c>
      <c r="U637" s="17">
        <f>ROUND($B637*U$608,2)</f>
        <v>0</v>
      </c>
      <c r="V637" s="17">
        <f>ROUND($B637*V$602,2)</f>
        <v>0</v>
      </c>
      <c r="W637" s="17">
        <f>ROUND($B637*W$608,2)</f>
        <v>0</v>
      </c>
      <c r="X637" s="17">
        <f>ROUND($B637*X$608,2)</f>
        <v>0</v>
      </c>
      <c r="Y637" s="17">
        <f>ROUND($B637*Y$608,2)</f>
        <v>0</v>
      </c>
      <c r="Z637" s="17">
        <f>ROUND($B637*Z$608,2)</f>
        <v>0</v>
      </c>
      <c r="AA637" s="17">
        <f>ROUND($B637*AA$608,2)</f>
        <v>0</v>
      </c>
      <c r="AB637" s="19">
        <f>SUM(U632:AA632)</f>
        <v>0</v>
      </c>
      <c r="AC637" s="78" t="str">
        <f>+F637</f>
        <v>PH8</v>
      </c>
    </row>
    <row r="638" spans="1:29" ht="13" x14ac:dyDescent="0.3">
      <c r="A638" s="9"/>
      <c r="B638" s="111">
        <v>-1</v>
      </c>
      <c r="D638" s="8"/>
      <c r="E638" s="9"/>
      <c r="F638" s="37"/>
      <c r="H638" s="12"/>
      <c r="I638" s="19"/>
      <c r="J638" s="12"/>
      <c r="K638" s="44">
        <f>ROUND(C639*K$609,0)</f>
        <v>25000</v>
      </c>
      <c r="L638" s="36">
        <f>+B639-K638</f>
        <v>-25001</v>
      </c>
      <c r="M638" s="12"/>
      <c r="N638" s="12"/>
      <c r="O638" s="12"/>
      <c r="P638" s="17" t="e">
        <f>SUM(J639:M639,R639:AA639)</f>
        <v>#N/A</v>
      </c>
      <c r="Q638" s="17">
        <f t="shared" si="42"/>
        <v>0</v>
      </c>
      <c r="R638" s="39" t="e">
        <f>VLOOKUP((D639),'Pwr Factor'!$A$1:$B$52,2)</f>
        <v>#N/A</v>
      </c>
      <c r="S638" s="51">
        <v>0.1</v>
      </c>
      <c r="T638" s="12"/>
      <c r="U638" s="12"/>
      <c r="V638" s="12"/>
      <c r="W638" s="12"/>
      <c r="X638" s="12"/>
      <c r="Y638" s="12"/>
      <c r="Z638" s="12"/>
      <c r="AA638" s="12"/>
    </row>
    <row r="639" spans="1:29" ht="13" x14ac:dyDescent="0.3">
      <c r="A639" s="57" t="s">
        <v>173</v>
      </c>
      <c r="B639" s="111">
        <f>IF(AND('AES Indiana Sep 23 Bill Calc.'!$D$17="PH",'AES Indiana Sep 23 Bill Calc.'!$D$18="Yes 10%",'AES Indiana Sep 23 Bill Calc.'!$D$20="Yes 2018"),'AES Indiana Sep 23 Bill Calc.'!$D$19,-1)</f>
        <v>-1</v>
      </c>
      <c r="C639" s="111">
        <f>MAX(E639,$C$609)</f>
        <v>100</v>
      </c>
      <c r="D639" s="111" t="b">
        <f>IF(AND('AES Indiana Sep 23 Bill Calc.'!$D$17="PH",'AES Indiana Sep 23 Bill Calc.'!$D$18="Yes 10%",'AES Indiana Sep 23 Bill Calc.'!$D$20="Yes 2018"),'AES Indiana Sep 23 Bill Calc.'!$D$22)</f>
        <v>0</v>
      </c>
      <c r="E639" s="111" t="b">
        <f>IF(AND('AES Indiana Sep 23 Bill Calc.'!$D$17="PH",'AES Indiana Sep 23 Bill Calc.'!$D$18="Yes 10%",'AES Indiana Sep 23 Bill Calc.'!$D$20="Yes 2018"),'AES Indiana Sep 23 Bill Calc.'!$D$21)</f>
        <v>0</v>
      </c>
      <c r="F639" s="37" t="s">
        <v>127</v>
      </c>
      <c r="G639" s="165" t="e">
        <f>MAX(I639,P638)</f>
        <v>#N/A</v>
      </c>
      <c r="H639" s="19" t="e">
        <f>IF(ISBLANK(B639),0,+#REF!/B639)</f>
        <v>#REF!</v>
      </c>
      <c r="I639" s="140">
        <f>(E639*120*$K$608)+$J$608</f>
        <v>1231.26</v>
      </c>
      <c r="J639" s="53">
        <f>IF(ISBLANK(B639),0,+J$608)</f>
        <v>1231.26</v>
      </c>
      <c r="K639" s="16">
        <f>IF($B639&gt;K638,ROUND(K638*K$608,2),ROUND($B639*K$608,2))</f>
        <v>-0.08</v>
      </c>
      <c r="L639" s="17">
        <f>IF($B639&gt;K638,ROUND((B639-K638)*L$608,2),0)</f>
        <v>0</v>
      </c>
      <c r="M639" s="17">
        <f>IF($C639&gt;L$518,ROUND(($C639-L$518)*M$517,2),0)</f>
        <v>0</v>
      </c>
      <c r="N639" s="17">
        <f>SUM(K639:L639)</f>
        <v>-0.08</v>
      </c>
      <c r="O639" s="17"/>
      <c r="P639" s="12"/>
      <c r="Q639" s="17">
        <f t="shared" si="42"/>
        <v>0</v>
      </c>
      <c r="R639" s="16" t="e">
        <f>ROUND(SUM(K639:M639)*(R638-1),2)</f>
        <v>#N/A</v>
      </c>
      <c r="S639" s="17">
        <f>ROUND($B639*S$608*S638,2)</f>
        <v>0</v>
      </c>
      <c r="T639" s="17">
        <f>ROUND($B639*T$608,2)</f>
        <v>0</v>
      </c>
      <c r="U639" s="17">
        <f>ROUND($B639*U$608,2)</f>
        <v>0</v>
      </c>
      <c r="V639" s="17">
        <f>ROUND($B639*V$602,2)</f>
        <v>0</v>
      </c>
      <c r="W639" s="17">
        <f>ROUND($B639*W$608,2)</f>
        <v>0</v>
      </c>
      <c r="X639" s="17">
        <f>ROUND($B639*X$608,2)</f>
        <v>0</v>
      </c>
      <c r="Y639" s="17">
        <f>ROUND($B639*Y$608,2)</f>
        <v>0</v>
      </c>
      <c r="Z639" s="17">
        <f>ROUND($B639*Z$608,2)</f>
        <v>0</v>
      </c>
      <c r="AA639" s="17">
        <f>ROUND($B639*AA$608,2)</f>
        <v>0</v>
      </c>
      <c r="AB639" s="19">
        <f>SUM(U634:AA634)</f>
        <v>0</v>
      </c>
      <c r="AC639" s="78" t="str">
        <f>+F639</f>
        <v>PH8</v>
      </c>
    </row>
    <row r="640" spans="1:29" ht="13" x14ac:dyDescent="0.3">
      <c r="A640" s="9"/>
      <c r="B640" s="111">
        <v>-1</v>
      </c>
      <c r="D640" s="8"/>
      <c r="E640" s="9"/>
      <c r="F640" s="37"/>
      <c r="H640" s="12"/>
      <c r="I640" s="19"/>
      <c r="J640" s="12"/>
      <c r="K640" s="44">
        <f>ROUND(C641*K$609,0)</f>
        <v>25000</v>
      </c>
      <c r="L640" s="36">
        <f>+B641-K640</f>
        <v>-25001</v>
      </c>
      <c r="M640" s="12"/>
      <c r="N640" s="12"/>
      <c r="O640" s="12"/>
      <c r="P640" s="17" t="e">
        <f>SUM(J641:M641,R641:AA641)</f>
        <v>#N/A</v>
      </c>
      <c r="Q640" s="17">
        <f t="shared" si="42"/>
        <v>0</v>
      </c>
      <c r="R640" s="39" t="e">
        <f>VLOOKUP((D641),'Pwr Factor'!$A$1:$B$52,2)</f>
        <v>#N/A</v>
      </c>
      <c r="S640" s="51">
        <v>0</v>
      </c>
      <c r="T640" s="12"/>
      <c r="U640" s="12"/>
      <c r="V640" s="12"/>
      <c r="W640" s="12"/>
      <c r="X640" s="12"/>
      <c r="Y640" s="12"/>
      <c r="Z640" s="12"/>
      <c r="AA640" s="12"/>
    </row>
    <row r="641" spans="1:230" ht="13" x14ac:dyDescent="0.3">
      <c r="A641" s="57" t="s">
        <v>172</v>
      </c>
      <c r="B641" s="111">
        <f>IF(AND('AES Indiana Sep 23 Bill Calc.'!$D$17="PH",'AES Indiana Sep 23 Bill Calc.'!$D$18="No",'AES Indiana Sep 23 Bill Calc.'!$D$20="Yes 2018"),'AES Indiana Sep 23 Bill Calc.'!$D$19,-1)</f>
        <v>-1</v>
      </c>
      <c r="C641" s="111">
        <f>MAX(E641,$C$609)</f>
        <v>100</v>
      </c>
      <c r="D641" s="111" t="b">
        <f>IF(AND('AES Indiana Sep 23 Bill Calc.'!$D$17="PH",'AES Indiana Sep 23 Bill Calc.'!$D$18="No",'AES Indiana Sep 23 Bill Calc.'!$D$20="Yes 2018"),'AES Indiana Sep 23 Bill Calc.'!$D$22)</f>
        <v>0</v>
      </c>
      <c r="E641" s="111" t="b">
        <f>IF(AND('AES Indiana Sep 23 Bill Calc.'!$D$17="PH",'AES Indiana Sep 23 Bill Calc.'!$D$18="No",'AES Indiana Sep 23 Bill Calc.'!$D$20="Yes 2018"),'AES Indiana Sep 23 Bill Calc.'!$D$21)</f>
        <v>0</v>
      </c>
      <c r="F641" s="37" t="s">
        <v>127</v>
      </c>
      <c r="G641" s="165" t="e">
        <f>MAX(I641,P640)</f>
        <v>#N/A</v>
      </c>
      <c r="H641" s="19" t="e">
        <f>IF(ISBLANK(B641),0,+#REF!/B641)</f>
        <v>#REF!</v>
      </c>
      <c r="I641" s="140">
        <f>(E641*120*$K$608)+$J$608</f>
        <v>1231.26</v>
      </c>
      <c r="J641" s="53">
        <f>IF(ISBLANK(B641),0,+J$608)</f>
        <v>1231.26</v>
      </c>
      <c r="K641" s="16">
        <f>IF($B641&gt;K640,ROUND(K640*K$608,2),ROUND($B641*K$608,2))</f>
        <v>-0.08</v>
      </c>
      <c r="L641" s="17">
        <f>IF($B641&gt;K640,ROUND((B641-K640)*L$608,2),0)</f>
        <v>0</v>
      </c>
      <c r="M641" s="17">
        <f>IF($C641&gt;L$518,ROUND(($C641-L$518)*M$517,2),0)</f>
        <v>0</v>
      </c>
      <c r="N641" s="17">
        <f>SUM(K641:L641)</f>
        <v>-0.08</v>
      </c>
      <c r="O641" s="17"/>
      <c r="P641" s="12"/>
      <c r="Q641" s="17">
        <f t="shared" si="42"/>
        <v>0</v>
      </c>
      <c r="R641" s="16" t="e">
        <f>ROUND(SUM(K641:M641)*(R640-1),2)</f>
        <v>#N/A</v>
      </c>
      <c r="S641" s="17">
        <f>ROUND($B641*S$608*S640,2)</f>
        <v>0</v>
      </c>
      <c r="T641" s="17">
        <f>ROUND($B641*T$608,2)</f>
        <v>0</v>
      </c>
      <c r="U641" s="17">
        <f>ROUND($B641*U$608,2)</f>
        <v>0</v>
      </c>
      <c r="V641" s="17">
        <f>ROUND($B641*V$602,2)</f>
        <v>0</v>
      </c>
      <c r="W641" s="17">
        <f>ROUND($B641*W$608,2)</f>
        <v>0</v>
      </c>
      <c r="X641" s="17">
        <f>ROUND($B641*X$608,2)</f>
        <v>0</v>
      </c>
      <c r="Y641" s="17">
        <f>ROUND($B641*Y$608,2)</f>
        <v>0</v>
      </c>
      <c r="Z641" s="17">
        <f>ROUND($B641*Z$608,2)</f>
        <v>0</v>
      </c>
      <c r="AA641" s="17">
        <f>ROUND($B641*AA$608,2)</f>
        <v>0</v>
      </c>
      <c r="AB641" s="19">
        <f>SUM(U636:AA636)</f>
        <v>0</v>
      </c>
      <c r="AC641" s="78" t="str">
        <f>+F641</f>
        <v>PH8</v>
      </c>
    </row>
    <row r="642" spans="1:230" ht="13" x14ac:dyDescent="0.3">
      <c r="A642" s="9"/>
      <c r="B642" s="111">
        <v>-1</v>
      </c>
      <c r="D642" s="8"/>
      <c r="E642" s="9"/>
      <c r="F642" s="37"/>
      <c r="H642" s="12"/>
      <c r="I642" s="19"/>
      <c r="J642" s="12"/>
      <c r="K642" s="44">
        <f>ROUND(C643*K$609,0)</f>
        <v>25000</v>
      </c>
      <c r="L642" s="36">
        <f>+B643-K642</f>
        <v>-25001</v>
      </c>
      <c r="M642" s="12"/>
      <c r="N642" s="12"/>
      <c r="O642" s="12"/>
      <c r="P642" s="17" t="e">
        <f>SUM(J643:M643,R643:AA643)</f>
        <v>#N/A</v>
      </c>
      <c r="Q642" s="17">
        <f t="shared" si="42"/>
        <v>0</v>
      </c>
      <c r="R642" s="39" t="e">
        <f>VLOOKUP((D643),'Pwr Factor'!$A$1:$B$52,2)</f>
        <v>#N/A</v>
      </c>
      <c r="S642" s="51">
        <v>1</v>
      </c>
      <c r="T642" s="12"/>
      <c r="U642" s="12"/>
      <c r="V642" s="12"/>
      <c r="W642" s="12"/>
      <c r="X642" s="12"/>
      <c r="Y642" s="12"/>
      <c r="Z642" s="12"/>
      <c r="AA642" s="12"/>
    </row>
    <row r="643" spans="1:230" s="21" customFormat="1" ht="13.5" thickBot="1" x14ac:dyDescent="0.35">
      <c r="A643" s="1" t="s">
        <v>73</v>
      </c>
      <c r="B643" s="111">
        <f>IF(AND('AES Indiana Sep 23 Bill Calc.'!$D$17="PH",'AES Indiana Sep 23 Bill Calc.'!$D$18="Yes 100%",'AES Indiana Sep 23 Bill Calc.'!$D$20="Yes 2019"),'AES Indiana Sep 23 Bill Calc.'!$D$19,-1)</f>
        <v>-1</v>
      </c>
      <c r="C643" s="111">
        <f>MAX(E643,$C$609)</f>
        <v>100</v>
      </c>
      <c r="D643" s="111" t="b">
        <f>IF(AND('AES Indiana Sep 23 Bill Calc.'!$D$17="PH",'AES Indiana Sep 23 Bill Calc.'!$D$18="Yes 100%",'AES Indiana Sep 23 Bill Calc.'!$D$20="Yes 2019"),'AES Indiana Sep 23 Bill Calc.'!$D$22)</f>
        <v>0</v>
      </c>
      <c r="E643" s="111" t="b">
        <f>IF(AND('AES Indiana Sep 23 Bill Calc.'!$D$17="PH",'AES Indiana Sep 23 Bill Calc.'!$D$18="Yes 100%",'AES Indiana Sep 23 Bill Calc.'!$D$20="Yes 2019"),'AES Indiana Sep 23 Bill Calc.'!$D$21)</f>
        <v>0</v>
      </c>
      <c r="F643" s="37" t="s">
        <v>149</v>
      </c>
      <c r="G643" s="165" t="e">
        <f>MAX(I643,P642)</f>
        <v>#N/A</v>
      </c>
      <c r="H643" s="19" t="e">
        <f>IF(ISBLANK(B643),0,+#REF!/B643)</f>
        <v>#REF!</v>
      </c>
      <c r="I643" s="140">
        <f>(E643*120*$K$608)+$J$608</f>
        <v>1231.26</v>
      </c>
      <c r="J643" s="53">
        <f>IF(ISBLANK(B643),0,+J$608)</f>
        <v>1231.26</v>
      </c>
      <c r="K643" s="16">
        <f>IF($B643&gt;K642,ROUND(K642*K$608,2),ROUND($B643*K$608,2))</f>
        <v>-0.08</v>
      </c>
      <c r="L643" s="17">
        <f>IF($B643&gt;K642,ROUND((B643-K642)*L$608,2),0)</f>
        <v>0</v>
      </c>
      <c r="M643" s="17">
        <f>IF($C643&gt;L$518,ROUND(($C643-L$518)*M$517,2),0)</f>
        <v>0</v>
      </c>
      <c r="N643" s="17">
        <f>SUM(K643:L643)</f>
        <v>-0.08</v>
      </c>
      <c r="O643" s="17"/>
      <c r="P643" s="12"/>
      <c r="Q643" s="17">
        <f t="shared" si="42"/>
        <v>0</v>
      </c>
      <c r="R643" s="16" t="e">
        <f>ROUND(SUM(K643:M643)*(R642-1),2)</f>
        <v>#N/A</v>
      </c>
      <c r="S643" s="17">
        <f>ROUND($B643*S$608*S642,2)</f>
        <v>0</v>
      </c>
      <c r="T643" s="17">
        <f>ROUND($B643*T$608,2)</f>
        <v>0</v>
      </c>
      <c r="U643" s="17">
        <f>ROUND($B643*U$608,2)</f>
        <v>0</v>
      </c>
      <c r="V643" s="17">
        <f>ROUND($B643*V$603,2)</f>
        <v>0</v>
      </c>
      <c r="W643" s="17">
        <f>ROUND($B643*W$608,2)</f>
        <v>0</v>
      </c>
      <c r="X643" s="17">
        <f>ROUND($B643*X$608,2)</f>
        <v>0</v>
      </c>
      <c r="Y643" s="17">
        <f>ROUND($B643*Y$608,2)</f>
        <v>0</v>
      </c>
      <c r="Z643" s="17">
        <f>ROUND($B643*Z$608,2)</f>
        <v>0</v>
      </c>
      <c r="AA643" s="17">
        <f>ROUND($B643*AA$608,2)</f>
        <v>0</v>
      </c>
      <c r="AB643" s="19">
        <f>SUM(U638:AA638)</f>
        <v>0</v>
      </c>
      <c r="AC643" s="78" t="str">
        <f>+F643</f>
        <v>PH9</v>
      </c>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row>
    <row r="644" spans="1:230" ht="13" x14ac:dyDescent="0.3">
      <c r="A644" s="9"/>
      <c r="B644" s="111">
        <v>-1</v>
      </c>
      <c r="D644" s="8"/>
      <c r="E644" s="9"/>
      <c r="F644" s="37"/>
      <c r="H644" s="12"/>
      <c r="I644" s="19"/>
      <c r="J644" s="12"/>
      <c r="K644" s="44">
        <f>ROUND(C645*K$609,0)</f>
        <v>25000</v>
      </c>
      <c r="L644" s="36">
        <f>+B645-K644</f>
        <v>-25001</v>
      </c>
      <c r="M644" s="12"/>
      <c r="N644" s="12"/>
      <c r="O644" s="12"/>
      <c r="P644" s="17" t="e">
        <f>SUM(J645:M645,R645:AA645)</f>
        <v>#N/A</v>
      </c>
      <c r="Q644" s="17">
        <f t="shared" si="42"/>
        <v>0</v>
      </c>
      <c r="R644" s="39" t="e">
        <f>VLOOKUP((D645),'Pwr Factor'!$A$1:$B$52,2)</f>
        <v>#N/A</v>
      </c>
      <c r="S644" s="51">
        <v>0.5</v>
      </c>
      <c r="T644" s="12"/>
      <c r="U644" s="12"/>
      <c r="V644" s="12"/>
      <c r="W644" s="12"/>
      <c r="X644" s="12"/>
      <c r="Y644" s="12"/>
      <c r="Z644" s="12"/>
      <c r="AA644" s="12"/>
    </row>
    <row r="645" spans="1:230" ht="13" x14ac:dyDescent="0.3">
      <c r="A645" s="57" t="s">
        <v>171</v>
      </c>
      <c r="B645" s="111">
        <f>IF(AND('AES Indiana Sep 23 Bill Calc.'!$D$17="PH",'AES Indiana Sep 23 Bill Calc.'!$D$18="Yes 50%",'AES Indiana Sep 23 Bill Calc.'!$D$20="Yes 2019"),'AES Indiana Sep 23 Bill Calc.'!$D$19,-1)</f>
        <v>-1</v>
      </c>
      <c r="C645" s="111">
        <f>MAX(E645,$C$609)</f>
        <v>100</v>
      </c>
      <c r="D645" s="111" t="b">
        <f>IF(AND('AES Indiana Sep 23 Bill Calc.'!$D$17="PH",'AES Indiana Sep 23 Bill Calc.'!$D$18="Yes 50%",'AES Indiana Sep 23 Bill Calc.'!$D$20="Yes 2019"),'AES Indiana Sep 23 Bill Calc.'!$D$22)</f>
        <v>0</v>
      </c>
      <c r="E645" s="111" t="b">
        <f>IF(AND('AES Indiana Sep 23 Bill Calc.'!$D$17="PH",'AES Indiana Sep 23 Bill Calc.'!$D$18="Yes 50%",'AES Indiana Sep 23 Bill Calc.'!$D$20="Yes 2019"),'AES Indiana Sep 23 Bill Calc.'!$D$21)</f>
        <v>0</v>
      </c>
      <c r="F645" s="37" t="s">
        <v>149</v>
      </c>
      <c r="G645" s="165" t="e">
        <f>MAX(I645,P644)</f>
        <v>#N/A</v>
      </c>
      <c r="H645" s="19" t="e">
        <f>IF(ISBLANK(B645),0,+#REF!/B645)</f>
        <v>#REF!</v>
      </c>
      <c r="I645" s="140">
        <f>(E645*120*$K$608)+$J$608</f>
        <v>1231.26</v>
      </c>
      <c r="J645" s="53">
        <f>IF(ISBLANK(B645),0,+J$608)</f>
        <v>1231.26</v>
      </c>
      <c r="K645" s="16">
        <f>IF($B645&gt;K644,ROUND(K644*K$608,2),ROUND($B645*K$608,2))</f>
        <v>-0.08</v>
      </c>
      <c r="L645" s="17">
        <f>IF($B645&gt;K644,ROUND((B645-K644)*L$608,2),0)</f>
        <v>0</v>
      </c>
      <c r="M645" s="17">
        <f>IF($C645&gt;L$518,ROUND(($C645-L$518)*M$517,2),0)</f>
        <v>0</v>
      </c>
      <c r="N645" s="17">
        <f>SUM(K645:L645)</f>
        <v>-0.08</v>
      </c>
      <c r="O645" s="17"/>
      <c r="P645" s="12"/>
      <c r="Q645" s="17">
        <f t="shared" si="42"/>
        <v>0</v>
      </c>
      <c r="R645" s="16" t="e">
        <f>ROUND(SUM(K645:M645)*(R644-1),2)</f>
        <v>#N/A</v>
      </c>
      <c r="S645" s="17">
        <f>ROUND($B645*S$608*S644,2)</f>
        <v>0</v>
      </c>
      <c r="T645" s="17">
        <f>ROUND($B645*T$608,2)</f>
        <v>0</v>
      </c>
      <c r="U645" s="17">
        <f>ROUND($B645*U$608,2)</f>
        <v>0</v>
      </c>
      <c r="V645" s="17">
        <f>ROUND($B645*V$603,2)</f>
        <v>0</v>
      </c>
      <c r="W645" s="17">
        <f>ROUND($B645*W$608,2)</f>
        <v>0</v>
      </c>
      <c r="X645" s="17">
        <f>ROUND($B645*X$608,2)</f>
        <v>0</v>
      </c>
      <c r="Y645" s="17">
        <f>ROUND($B645*Y$608,2)</f>
        <v>0</v>
      </c>
      <c r="Z645" s="17">
        <f>ROUND($B645*Z$608,2)</f>
        <v>0</v>
      </c>
      <c r="AA645" s="17">
        <f>ROUND($B645*AA$608,2)</f>
        <v>0</v>
      </c>
      <c r="AB645" s="19">
        <f>SUM(U640:AA640)</f>
        <v>0</v>
      </c>
      <c r="AC645" s="78" t="str">
        <f>+F645</f>
        <v>PH9</v>
      </c>
    </row>
    <row r="646" spans="1:230" ht="13" x14ac:dyDescent="0.3">
      <c r="A646" s="9"/>
      <c r="B646" s="111">
        <v>-1</v>
      </c>
      <c r="D646" s="8"/>
      <c r="E646" s="9"/>
      <c r="F646" s="37"/>
      <c r="H646" s="12"/>
      <c r="I646" s="19"/>
      <c r="J646" s="12"/>
      <c r="K646" s="44">
        <f>ROUND(C647*K$609,0)</f>
        <v>25000</v>
      </c>
      <c r="L646" s="36">
        <f>+B647-K646</f>
        <v>-25001</v>
      </c>
      <c r="M646" s="12"/>
      <c r="N646" s="12"/>
      <c r="O646" s="12"/>
      <c r="P646" s="17" t="e">
        <f>SUM(J647:M647,R647:AA647)</f>
        <v>#N/A</v>
      </c>
      <c r="Q646" s="17">
        <f t="shared" si="42"/>
        <v>0</v>
      </c>
      <c r="R646" s="39" t="e">
        <f>VLOOKUP((D647),'Pwr Factor'!$A$1:$B$52,2)</f>
        <v>#N/A</v>
      </c>
      <c r="S646" s="51">
        <v>0.25</v>
      </c>
      <c r="T646" s="12"/>
      <c r="U646" s="12"/>
      <c r="V646" s="12"/>
      <c r="W646" s="12"/>
      <c r="X646" s="12"/>
      <c r="Y646" s="12"/>
      <c r="Z646" s="12"/>
      <c r="AA646" s="12"/>
    </row>
    <row r="647" spans="1:230" ht="13" x14ac:dyDescent="0.3">
      <c r="A647" s="57" t="s">
        <v>158</v>
      </c>
      <c r="B647" s="111">
        <f>IF(AND('AES Indiana Sep 23 Bill Calc.'!$D$17="PH",'AES Indiana Sep 23 Bill Calc.'!$D$18="Yes 25%",'AES Indiana Sep 23 Bill Calc.'!$D$20="Yes 2019"),'AES Indiana Sep 23 Bill Calc.'!$D$19,-1)</f>
        <v>-1</v>
      </c>
      <c r="C647" s="111">
        <f>MAX(E647,$C$609)</f>
        <v>100</v>
      </c>
      <c r="D647" s="111" t="b">
        <f>IF(AND('AES Indiana Sep 23 Bill Calc.'!$D$17="PH",'AES Indiana Sep 23 Bill Calc.'!$D$18="Yes 25%",'AES Indiana Sep 23 Bill Calc.'!$D$20="Yes 2019"),'AES Indiana Sep 23 Bill Calc.'!$D$22)</f>
        <v>0</v>
      </c>
      <c r="E647" s="111" t="b">
        <f>IF(AND('AES Indiana Sep 23 Bill Calc.'!$D$17="PH",'AES Indiana Sep 23 Bill Calc.'!$D$18="Yes 25%",'AES Indiana Sep 23 Bill Calc.'!$D$20="Yes 2019"),'AES Indiana Sep 23 Bill Calc.'!$D$21)</f>
        <v>0</v>
      </c>
      <c r="F647" s="37" t="s">
        <v>149</v>
      </c>
      <c r="G647" s="165" t="e">
        <f>MAX(I647,P646)</f>
        <v>#N/A</v>
      </c>
      <c r="H647" s="19" t="e">
        <f>IF(ISBLANK(B647),0,+#REF!/B647)</f>
        <v>#REF!</v>
      </c>
      <c r="I647" s="140">
        <f>(E647*120*$K$608)+$J$608</f>
        <v>1231.26</v>
      </c>
      <c r="J647" s="53">
        <f>IF(ISBLANK(B647),0,+J$608)</f>
        <v>1231.26</v>
      </c>
      <c r="K647" s="16">
        <f>IF($B647&gt;K646,ROUND(K646*K$608,2),ROUND($B647*K$608,2))</f>
        <v>-0.08</v>
      </c>
      <c r="L647" s="17">
        <f>IF($B647&gt;K646,ROUND((B647-K646)*L$608,2),0)</f>
        <v>0</v>
      </c>
      <c r="M647" s="17">
        <f>IF($C647&gt;L$518,ROUND(($C647-L$518)*M$517,2),0)</f>
        <v>0</v>
      </c>
      <c r="N647" s="17">
        <f>SUM(K647:L647)</f>
        <v>-0.08</v>
      </c>
      <c r="O647" s="17"/>
      <c r="P647" s="12"/>
      <c r="Q647" s="17">
        <f>M647</f>
        <v>0</v>
      </c>
      <c r="R647" s="16" t="e">
        <f>ROUND(SUM(K647:M647)*(R646-1),2)</f>
        <v>#N/A</v>
      </c>
      <c r="S647" s="17">
        <f>ROUND($B647*S$608*S646,2)</f>
        <v>0</v>
      </c>
      <c r="T647" s="17">
        <f>ROUND($B647*T$608,2)</f>
        <v>0</v>
      </c>
      <c r="U647" s="17">
        <f>ROUND($B647*U$608,2)</f>
        <v>0</v>
      </c>
      <c r="V647" s="17">
        <f>ROUND($B647*V$603,2)</f>
        <v>0</v>
      </c>
      <c r="W647" s="17">
        <f>ROUND($B647*W$608,2)</f>
        <v>0</v>
      </c>
      <c r="X647" s="17">
        <f>ROUND($B647*X$608,2)</f>
        <v>0</v>
      </c>
      <c r="Y647" s="17">
        <f>ROUND($B647*Y$608,2)</f>
        <v>0</v>
      </c>
      <c r="Z647" s="17">
        <f>ROUND($B647*Z$608,2)</f>
        <v>0</v>
      </c>
      <c r="AA647" s="17">
        <f>ROUND($B647*AA$608,2)</f>
        <v>0</v>
      </c>
      <c r="AB647" s="19">
        <f>SUM(U642:AA642)</f>
        <v>0</v>
      </c>
      <c r="AC647" s="78" t="str">
        <f>+F647</f>
        <v>PH9</v>
      </c>
    </row>
    <row r="648" spans="1:230" ht="13" x14ac:dyDescent="0.3">
      <c r="A648" s="9"/>
      <c r="B648" s="111">
        <v>-1</v>
      </c>
      <c r="D648" s="8"/>
      <c r="E648" s="9"/>
      <c r="F648" s="37"/>
      <c r="H648" s="12"/>
      <c r="I648" s="19"/>
      <c r="J648" s="12"/>
      <c r="K648" s="44">
        <f>ROUND(C649*K$609,0)</f>
        <v>25000</v>
      </c>
      <c r="L648" s="36">
        <f>+B649-K648</f>
        <v>-25001</v>
      </c>
      <c r="M648" s="12"/>
      <c r="N648" s="12"/>
      <c r="O648" s="12"/>
      <c r="P648" s="17" t="e">
        <f>SUM(J649:M649,R649:AA649)</f>
        <v>#N/A</v>
      </c>
      <c r="Q648" s="17">
        <f t="shared" si="42"/>
        <v>0</v>
      </c>
      <c r="R648" s="39" t="e">
        <f>VLOOKUP((D649),'Pwr Factor'!$A$1:$B$52,2)</f>
        <v>#N/A</v>
      </c>
      <c r="S648" s="51">
        <v>0.1</v>
      </c>
      <c r="T648" s="12"/>
      <c r="U648" s="12"/>
      <c r="V648" s="12"/>
      <c r="W648" s="12"/>
      <c r="X648" s="12"/>
      <c r="Y648" s="12"/>
      <c r="Z648" s="12"/>
      <c r="AA648" s="12"/>
    </row>
    <row r="649" spans="1:230" ht="13" x14ac:dyDescent="0.3">
      <c r="A649" s="57" t="s">
        <v>173</v>
      </c>
      <c r="B649" s="111">
        <f>IF(AND('AES Indiana Sep 23 Bill Calc.'!$D$17="PH",'AES Indiana Sep 23 Bill Calc.'!$D$18="Yes 10%",'AES Indiana Sep 23 Bill Calc.'!$D$20="Yes 2019"),'AES Indiana Sep 23 Bill Calc.'!$D$19,-1)</f>
        <v>-1</v>
      </c>
      <c r="C649" s="111">
        <f>MAX(E649,$C$609)</f>
        <v>100</v>
      </c>
      <c r="D649" s="111" t="b">
        <f>IF(AND('AES Indiana Sep 23 Bill Calc.'!$D$17="PH",'AES Indiana Sep 23 Bill Calc.'!$D$18="Yes 10%",'AES Indiana Sep 23 Bill Calc.'!$D$20="Yes 2019"),'AES Indiana Sep 23 Bill Calc.'!$D$22)</f>
        <v>0</v>
      </c>
      <c r="E649" s="111" t="b">
        <f>IF(AND('AES Indiana Sep 23 Bill Calc.'!$D$17="PH",'AES Indiana Sep 23 Bill Calc.'!$D$18="Yes 10%",'AES Indiana Sep 23 Bill Calc.'!$D$20="Yes 2019"),'AES Indiana Sep 23 Bill Calc.'!$D$21)</f>
        <v>0</v>
      </c>
      <c r="F649" s="37" t="s">
        <v>149</v>
      </c>
      <c r="G649" s="165" t="e">
        <f>MAX(I649,P648)</f>
        <v>#N/A</v>
      </c>
      <c r="H649" s="19" t="e">
        <f>IF(ISBLANK(B649),0,+#REF!/B649)</f>
        <v>#REF!</v>
      </c>
      <c r="I649" s="140">
        <f>(E649*120*$K$608)+$J$608</f>
        <v>1231.26</v>
      </c>
      <c r="J649" s="53">
        <f>IF(ISBLANK(B649),0,+J$608)</f>
        <v>1231.26</v>
      </c>
      <c r="K649" s="16">
        <f>IF($B649&gt;K648,ROUND(K648*K$608,2),ROUND($B649*K$608,2))</f>
        <v>-0.08</v>
      </c>
      <c r="L649" s="17">
        <f>IF($B649&gt;K648,ROUND((B649-K648)*L$608,2),0)</f>
        <v>0</v>
      </c>
      <c r="M649" s="17">
        <f>IF($C649&gt;L$518,ROUND(($C649-L$518)*M$517,2),0)</f>
        <v>0</v>
      </c>
      <c r="N649" s="17">
        <f>SUM(K649:L649)</f>
        <v>-0.08</v>
      </c>
      <c r="O649" s="17"/>
      <c r="P649" s="12"/>
      <c r="Q649" s="17">
        <f t="shared" si="42"/>
        <v>0</v>
      </c>
      <c r="R649" s="16" t="e">
        <f>ROUND(SUM(K649:M649)*(R648-1),2)</f>
        <v>#N/A</v>
      </c>
      <c r="S649" s="17">
        <f>ROUND($B649*S$608*S648,2)</f>
        <v>0</v>
      </c>
      <c r="T649" s="17">
        <f>ROUND($B649*T$608,2)</f>
        <v>0</v>
      </c>
      <c r="U649" s="17">
        <f>ROUND($B649*U$608,2)</f>
        <v>0</v>
      </c>
      <c r="V649" s="17">
        <f>ROUND($B649*V$603,2)</f>
        <v>0</v>
      </c>
      <c r="W649" s="17">
        <f>ROUND($B649*W$608,2)</f>
        <v>0</v>
      </c>
      <c r="X649" s="17">
        <f>ROUND($B649*X$608,2)</f>
        <v>0</v>
      </c>
      <c r="Y649" s="17">
        <f>ROUND($B649*Y$608,2)</f>
        <v>0</v>
      </c>
      <c r="Z649" s="17">
        <f>ROUND($B649*Z$608,2)</f>
        <v>0</v>
      </c>
      <c r="AA649" s="17">
        <f>ROUND($B649*AA$608,2)</f>
        <v>0</v>
      </c>
      <c r="AB649" s="19">
        <f>SUM(U644:AA644)</f>
        <v>0</v>
      </c>
      <c r="AC649" s="78" t="str">
        <f>+F649</f>
        <v>PH9</v>
      </c>
    </row>
    <row r="650" spans="1:230" ht="13" x14ac:dyDescent="0.3">
      <c r="A650" s="9"/>
      <c r="B650" s="111">
        <v>-1</v>
      </c>
      <c r="D650" s="8"/>
      <c r="E650" s="9"/>
      <c r="F650" s="37"/>
      <c r="H650" s="12"/>
      <c r="I650" s="19"/>
      <c r="J650" s="12"/>
      <c r="K650" s="44">
        <f>ROUND(C651*K$609,0)</f>
        <v>25000</v>
      </c>
      <c r="L650" s="36">
        <f>+B651-K650</f>
        <v>-25001</v>
      </c>
      <c r="M650" s="12"/>
      <c r="N650" s="12"/>
      <c r="O650" s="12"/>
      <c r="P650" s="17" t="e">
        <f>SUM(J651:M651,R651:AA651)</f>
        <v>#N/A</v>
      </c>
      <c r="Q650" s="17">
        <f t="shared" si="42"/>
        <v>0</v>
      </c>
      <c r="R650" s="39" t="e">
        <f>VLOOKUP((D651),'Pwr Factor'!$A$1:$B$52,2)</f>
        <v>#N/A</v>
      </c>
      <c r="S650" s="51">
        <v>0</v>
      </c>
      <c r="T650" s="12"/>
      <c r="U650" s="12"/>
      <c r="V650" s="12"/>
      <c r="W650" s="12"/>
      <c r="X650" s="12"/>
      <c r="Y650" s="12"/>
      <c r="Z650" s="12"/>
      <c r="AA650" s="12"/>
    </row>
    <row r="651" spans="1:230" ht="13" x14ac:dyDescent="0.3">
      <c r="A651" s="57" t="s">
        <v>172</v>
      </c>
      <c r="B651" s="111">
        <f>IF(AND('AES Indiana Sep 23 Bill Calc.'!$D$17="PH",'AES Indiana Sep 23 Bill Calc.'!$D$18="Yes 100%",'AES Indiana Sep 23 Bill Calc.'!$D$20="Yes 2019"),'AES Indiana Sep 23 Bill Calc.'!$D$19,-1)</f>
        <v>-1</v>
      </c>
      <c r="C651" s="111">
        <f>MAX(E651,$C$609)</f>
        <v>100</v>
      </c>
      <c r="D651" s="111" t="b">
        <f>IF(AND('AES Indiana Sep 23 Bill Calc.'!$D$17="PH",'AES Indiana Sep 23 Bill Calc.'!$D$18="Yes 100%",'AES Indiana Sep 23 Bill Calc.'!$D$20="Yes 2019"),'AES Indiana Sep 23 Bill Calc.'!$D$22)</f>
        <v>0</v>
      </c>
      <c r="E651" s="111" t="b">
        <f>IF(AND('AES Indiana Sep 23 Bill Calc.'!$D$17="PH",'AES Indiana Sep 23 Bill Calc.'!$D$18="Yes 100%",'AES Indiana Sep 23 Bill Calc.'!$D$20="Yes 2019"),'AES Indiana Sep 23 Bill Calc.'!$D$21)</f>
        <v>0</v>
      </c>
      <c r="F651" s="37" t="s">
        <v>149</v>
      </c>
      <c r="G651" s="165" t="e">
        <f>MAX(I651,P650)</f>
        <v>#N/A</v>
      </c>
      <c r="H651" s="19" t="e">
        <f>IF(ISBLANK(B651),0,+#REF!/B651)</f>
        <v>#REF!</v>
      </c>
      <c r="I651" s="140">
        <f>(E651*120*$K$608)+$J$608</f>
        <v>1231.26</v>
      </c>
      <c r="J651" s="53">
        <f>IF(ISBLANK(B651),0,+J$608)</f>
        <v>1231.26</v>
      </c>
      <c r="K651" s="16">
        <f>IF($B651&gt;K650,ROUND(K650*K$608,2),ROUND($B651*K$608,2))</f>
        <v>-0.08</v>
      </c>
      <c r="L651" s="17">
        <f>IF($B651&gt;K650,ROUND((B651-K650)*L$608,2),0)</f>
        <v>0</v>
      </c>
      <c r="M651" s="17">
        <f>IF($C651&gt;L$518,ROUND(($C651-L$518)*M$517,2),0)</f>
        <v>0</v>
      </c>
      <c r="N651" s="17">
        <f>SUM(K651:L651)</f>
        <v>-0.08</v>
      </c>
      <c r="O651" s="17"/>
      <c r="P651" s="12"/>
      <c r="Q651" s="17">
        <f t="shared" si="42"/>
        <v>0</v>
      </c>
      <c r="R651" s="16" t="e">
        <f>ROUND(SUM(K651:M651)*(R650-1),2)</f>
        <v>#N/A</v>
      </c>
      <c r="S651" s="17">
        <f>ROUND($B651*S$608*S650,2)</f>
        <v>0</v>
      </c>
      <c r="T651" s="17">
        <f>ROUND($B651*T$608,2)</f>
        <v>0</v>
      </c>
      <c r="U651" s="17">
        <f>ROUND($B651*U$608,2)</f>
        <v>0</v>
      </c>
      <c r="V651" s="17">
        <f>ROUND($B651*V$603,2)</f>
        <v>0</v>
      </c>
      <c r="W651" s="17">
        <f>ROUND($B651*W$608,2)</f>
        <v>0</v>
      </c>
      <c r="X651" s="17">
        <f>ROUND($B651*X$608,2)</f>
        <v>0</v>
      </c>
      <c r="Y651" s="17">
        <f>ROUND($B651*Y$608,2)</f>
        <v>0</v>
      </c>
      <c r="Z651" s="17">
        <f>ROUND($B651*Z$608,2)</f>
        <v>0</v>
      </c>
      <c r="AA651" s="17">
        <f>ROUND($B651*AA$608,2)</f>
        <v>0</v>
      </c>
      <c r="AB651" s="19">
        <f>SUM(U646:AA646)</f>
        <v>0</v>
      </c>
      <c r="AC651" s="78" t="str">
        <f>+F651</f>
        <v>PH9</v>
      </c>
    </row>
    <row r="652" spans="1:230" ht="13" x14ac:dyDescent="0.3">
      <c r="A652" s="9"/>
      <c r="B652" s="111">
        <v>-1</v>
      </c>
      <c r="D652" s="8"/>
      <c r="E652" s="9"/>
      <c r="F652" s="37"/>
      <c r="H652" s="12"/>
      <c r="I652" s="19"/>
      <c r="J652" s="12"/>
      <c r="K652" s="44">
        <f>ROUND(C653*K$609,0)</f>
        <v>25000</v>
      </c>
      <c r="L652" s="36">
        <f>+B653-K652</f>
        <v>-25001</v>
      </c>
      <c r="M652" s="12"/>
      <c r="N652" s="12"/>
      <c r="O652" s="12"/>
      <c r="P652" s="17" t="e">
        <f>SUM(J653:M653,R653:AA653)</f>
        <v>#N/A</v>
      </c>
      <c r="Q652" s="17">
        <f t="shared" si="42"/>
        <v>0</v>
      </c>
      <c r="R652" s="39" t="e">
        <f>VLOOKUP((D653),'Pwr Factor'!$A$1:$B$52,2)</f>
        <v>#N/A</v>
      </c>
      <c r="S652" s="51">
        <v>1</v>
      </c>
      <c r="T652" s="12"/>
      <c r="U652" s="12"/>
      <c r="V652" s="12"/>
      <c r="W652" s="12"/>
      <c r="X652" s="12"/>
      <c r="Y652" s="12"/>
      <c r="Z652" s="12"/>
      <c r="AA652" s="12"/>
    </row>
    <row r="653" spans="1:230" ht="13" x14ac:dyDescent="0.3">
      <c r="A653" s="1" t="s">
        <v>73</v>
      </c>
      <c r="B653" s="111">
        <f>IF(AND('AES Indiana Sep 23 Bill Calc.'!$D$17="PH",'AES Indiana Sep 23 Bill Calc.'!$D$18="Yes 100%",'AES Indiana Sep 23 Bill Calc.'!$D$20="Yes 2020"),'AES Indiana Sep 23 Bill Calc.'!$D$19,-1)</f>
        <v>-1</v>
      </c>
      <c r="C653" s="111">
        <f>MAX(E653,$C$609)</f>
        <v>100</v>
      </c>
      <c r="D653" s="111" t="b">
        <f>IF(AND('AES Indiana Sep 23 Bill Calc.'!$D$17="PH",'AES Indiana Sep 23 Bill Calc.'!$D$18="Yes 100%",'AES Indiana Sep 23 Bill Calc.'!$D$20="Yes 2020"),'AES Indiana Sep 23 Bill Calc.'!$D$22)</f>
        <v>0</v>
      </c>
      <c r="E653" s="111" t="b">
        <f>IF(AND('AES Indiana Sep 23 Bill Calc.'!$D$17="PH",'AES Indiana Sep 23 Bill Calc.'!$D$18="Yes 100%",'AES Indiana Sep 23 Bill Calc.'!$D$20="Yes 2020"),'AES Indiana Sep 23 Bill Calc.'!$D$21)</f>
        <v>0</v>
      </c>
      <c r="F653" s="37" t="s">
        <v>150</v>
      </c>
      <c r="G653" s="165" t="e">
        <f>MAX(I653,P652)</f>
        <v>#N/A</v>
      </c>
      <c r="H653" s="19" t="e">
        <f>IF(ISBLANK(B653),0,+#REF!/B653)</f>
        <v>#REF!</v>
      </c>
      <c r="I653" s="140">
        <f>(E653*120*$K$608)+$J$608</f>
        <v>1231.26</v>
      </c>
      <c r="J653" s="53">
        <f>IF(ISBLANK(B653),0,+J$608)</f>
        <v>1231.26</v>
      </c>
      <c r="K653" s="16">
        <f>IF($B653&gt;K652,ROUND(K652*K$608,2),ROUND($B653*K$608,2))</f>
        <v>-0.08</v>
      </c>
      <c r="L653" s="17">
        <f>IF($B653&gt;K652,ROUND((B653-K652)*L$608,2),0)</f>
        <v>0</v>
      </c>
      <c r="M653" s="17">
        <f>IF($C653&gt;L$518,ROUND(($C653-L$518)*M$517,2),0)</f>
        <v>0</v>
      </c>
      <c r="N653" s="17">
        <f>SUM(K653:L653)</f>
        <v>-0.08</v>
      </c>
      <c r="O653" s="17"/>
      <c r="P653" s="12"/>
      <c r="Q653" s="17">
        <f t="shared" si="42"/>
        <v>0</v>
      </c>
      <c r="R653" s="16" t="e">
        <f>ROUND(SUM(K653:M653)*(R652-1),2)</f>
        <v>#N/A</v>
      </c>
      <c r="S653" s="17">
        <f>ROUND($B653*S$608*S652,2)</f>
        <v>0</v>
      </c>
      <c r="T653" s="17">
        <f>ROUND($B653*T$608,2)</f>
        <v>0</v>
      </c>
      <c r="U653" s="17">
        <f>ROUND($B653*U$608,2)</f>
        <v>0</v>
      </c>
      <c r="V653" s="17">
        <f>ROUND($B653*V$604,2)</f>
        <v>0</v>
      </c>
      <c r="W653" s="17">
        <f>ROUND($B653*W$608,2)</f>
        <v>0</v>
      </c>
      <c r="X653" s="17">
        <f>ROUND($B653*X$608,2)</f>
        <v>0</v>
      </c>
      <c r="Y653" s="17">
        <f>ROUND($B653*Y$608,2)</f>
        <v>0</v>
      </c>
      <c r="Z653" s="17">
        <f>ROUND($B653*Z$608,2)</f>
        <v>0</v>
      </c>
      <c r="AA653" s="17">
        <f>ROUND($B653*AA$608,2)</f>
        <v>0</v>
      </c>
      <c r="AB653" s="19">
        <f>SUM(U648:AA648)</f>
        <v>0</v>
      </c>
      <c r="AC653" s="78" t="str">
        <f>+F653</f>
        <v>PH0</v>
      </c>
    </row>
    <row r="654" spans="1:230" ht="13" x14ac:dyDescent="0.3">
      <c r="A654" s="9"/>
      <c r="B654" s="111">
        <v>-1</v>
      </c>
      <c r="D654" s="8"/>
      <c r="E654" s="9"/>
      <c r="F654" s="37"/>
      <c r="H654" s="12"/>
      <c r="I654" s="19"/>
      <c r="J654" s="12"/>
      <c r="K654" s="44">
        <f>ROUND(C655*K$609,0)</f>
        <v>25000</v>
      </c>
      <c r="L654" s="36">
        <f>+B655-K654</f>
        <v>-25001</v>
      </c>
      <c r="M654" s="12"/>
      <c r="N654" s="12"/>
      <c r="O654" s="12"/>
      <c r="P654" s="17" t="e">
        <f>SUM(J655:M655,R655:AA655)</f>
        <v>#N/A</v>
      </c>
      <c r="Q654" s="17">
        <f t="shared" si="42"/>
        <v>0</v>
      </c>
      <c r="R654" s="39" t="e">
        <f>VLOOKUP((D655),'Pwr Factor'!$A$1:$B$52,2)</f>
        <v>#N/A</v>
      </c>
      <c r="S654" s="51">
        <v>0.5</v>
      </c>
      <c r="T654" s="12"/>
      <c r="U654" s="12"/>
      <c r="V654" s="12"/>
      <c r="W654" s="12"/>
      <c r="X654" s="12"/>
      <c r="Y654" s="12"/>
      <c r="Z654" s="12"/>
      <c r="AA654" s="12"/>
    </row>
    <row r="655" spans="1:230" ht="13" x14ac:dyDescent="0.3">
      <c r="A655" s="57" t="s">
        <v>171</v>
      </c>
      <c r="B655" s="111">
        <f>IF(AND('AES Indiana Sep 23 Bill Calc.'!$D$17="PH",'AES Indiana Sep 23 Bill Calc.'!$D$18="Yes 50%",'AES Indiana Sep 23 Bill Calc.'!$D$20="Yes 2020"),'AES Indiana Sep 23 Bill Calc.'!$D$19,-1)</f>
        <v>-1</v>
      </c>
      <c r="C655" s="111">
        <f>MAX(E655,$C$609)</f>
        <v>100</v>
      </c>
      <c r="D655" s="111" t="b">
        <f>IF(AND('AES Indiana Sep 23 Bill Calc.'!$D$17="PH",'AES Indiana Sep 23 Bill Calc.'!$D$18="Yes 50%",'AES Indiana Sep 23 Bill Calc.'!$D$20="Yes 2020"),'AES Indiana Sep 23 Bill Calc.'!$D$22)</f>
        <v>0</v>
      </c>
      <c r="E655" s="111" t="b">
        <f>IF(AND('AES Indiana Sep 23 Bill Calc.'!$D$17="PH",'AES Indiana Sep 23 Bill Calc.'!$D$18="Yes 50%",'AES Indiana Sep 23 Bill Calc.'!$D$20="Yes 2020"),'AES Indiana Sep 23 Bill Calc.'!$D$21)</f>
        <v>0</v>
      </c>
      <c r="F655" s="37" t="s">
        <v>150</v>
      </c>
      <c r="G655" s="165" t="e">
        <f>MAX(I655,P654)</f>
        <v>#N/A</v>
      </c>
      <c r="H655" s="19" t="e">
        <f>IF(ISBLANK(B655),0,+#REF!/B655)</f>
        <v>#REF!</v>
      </c>
      <c r="I655" s="140">
        <f>(E655*120*$K$608)+$J$608</f>
        <v>1231.26</v>
      </c>
      <c r="J655" s="53">
        <f>IF(ISBLANK(B655),0,+J$608)</f>
        <v>1231.26</v>
      </c>
      <c r="K655" s="16">
        <f>IF($B655&gt;K654,ROUND(K654*K$608,2),ROUND($B655*K$608,2))</f>
        <v>-0.08</v>
      </c>
      <c r="L655" s="17">
        <f>IF($B655&gt;K654,ROUND((B655-K654)*L$608,2),0)</f>
        <v>0</v>
      </c>
      <c r="M655" s="17">
        <f>IF($C655&gt;L$518,ROUND(($C655-L$518)*M$517,2),0)</f>
        <v>0</v>
      </c>
      <c r="N655" s="17">
        <v>0</v>
      </c>
      <c r="O655" s="17"/>
      <c r="P655" s="12"/>
      <c r="Q655" s="17">
        <f t="shared" si="42"/>
        <v>0</v>
      </c>
      <c r="R655" s="16" t="e">
        <f>ROUND(SUM(K655:M655)*(R654-1),2)</f>
        <v>#N/A</v>
      </c>
      <c r="S655" s="17">
        <f>ROUND($B655*S$608*S654,2)</f>
        <v>0</v>
      </c>
      <c r="T655" s="17">
        <f>ROUND($B655*T$608,2)</f>
        <v>0</v>
      </c>
      <c r="U655" s="17">
        <f>ROUND($B655*U$608,2)</f>
        <v>0</v>
      </c>
      <c r="V655" s="17">
        <f>ROUND($B655*V$604,2)</f>
        <v>0</v>
      </c>
      <c r="W655" s="17">
        <f>ROUND($B655*W$608,2)</f>
        <v>0</v>
      </c>
      <c r="X655" s="17">
        <f>ROUND($B655*X$608,2)</f>
        <v>0</v>
      </c>
      <c r="Y655" s="17">
        <f>ROUND($B655*Y$608,2)</f>
        <v>0</v>
      </c>
      <c r="Z655" s="17">
        <f>ROUND($B655*Z$608,2)</f>
        <v>0</v>
      </c>
      <c r="AA655" s="17">
        <f>ROUND($B655*AA$608,2)</f>
        <v>0</v>
      </c>
      <c r="AB655" s="19">
        <f>SUM(U650:AA650)</f>
        <v>0</v>
      </c>
      <c r="AC655" s="78" t="str">
        <f>+F655</f>
        <v>PH0</v>
      </c>
    </row>
    <row r="656" spans="1:230" ht="13" x14ac:dyDescent="0.3">
      <c r="A656" s="9"/>
      <c r="B656" s="111">
        <v>-1</v>
      </c>
      <c r="D656" s="8"/>
      <c r="E656" s="9"/>
      <c r="F656" s="37"/>
      <c r="H656" s="12"/>
      <c r="I656" s="19"/>
      <c r="J656" s="12"/>
      <c r="K656" s="44">
        <f>ROUND(C657*K$609,0)</f>
        <v>25000</v>
      </c>
      <c r="L656" s="36">
        <f>+B657-K656</f>
        <v>-25001</v>
      </c>
      <c r="M656" s="12"/>
      <c r="N656" s="12"/>
      <c r="O656" s="12"/>
      <c r="P656" s="17" t="e">
        <f>SUM(J657:M657,R657:AA657)</f>
        <v>#N/A</v>
      </c>
      <c r="Q656" s="17">
        <f t="shared" si="42"/>
        <v>0</v>
      </c>
      <c r="R656" s="39" t="e">
        <f>VLOOKUP((D657),'Pwr Factor'!$A$1:$B$52,2)</f>
        <v>#N/A</v>
      </c>
      <c r="S656" s="51">
        <v>0.25</v>
      </c>
      <c r="T656" s="12"/>
      <c r="U656" s="12"/>
      <c r="V656" s="12"/>
      <c r="W656" s="12"/>
      <c r="X656" s="12"/>
      <c r="Y656" s="12"/>
      <c r="Z656" s="12"/>
      <c r="AA656" s="12"/>
    </row>
    <row r="657" spans="1:29" ht="13" x14ac:dyDescent="0.3">
      <c r="A657" s="57" t="s">
        <v>158</v>
      </c>
      <c r="B657" s="111">
        <f>IF(AND('AES Indiana Sep 23 Bill Calc.'!$D$17="PH",'AES Indiana Sep 23 Bill Calc.'!$D$18="Yes 25%",'AES Indiana Sep 23 Bill Calc.'!$D$20="Yes 2020"),'AES Indiana Sep 23 Bill Calc.'!$D$19,-1)</f>
        <v>-1</v>
      </c>
      <c r="C657" s="111">
        <f>MAX(E657,$C$609)</f>
        <v>100</v>
      </c>
      <c r="D657" s="111" t="b">
        <f>IF(AND('AES Indiana Sep 23 Bill Calc.'!$D$17="PH",'AES Indiana Sep 23 Bill Calc.'!$D$18="Yes 25%",'AES Indiana Sep 23 Bill Calc.'!$D$20="Yes 2020"),'AES Indiana Sep 23 Bill Calc.'!$D$22)</f>
        <v>0</v>
      </c>
      <c r="E657" s="111" t="b">
        <f>IF(AND('AES Indiana Sep 23 Bill Calc.'!$D$17="PH",'AES Indiana Sep 23 Bill Calc.'!$D$18="Yes 25%",'AES Indiana Sep 23 Bill Calc.'!$D$20="Yes 2020"),'AES Indiana Sep 23 Bill Calc.'!$D$21)</f>
        <v>0</v>
      </c>
      <c r="F657" s="37" t="s">
        <v>150</v>
      </c>
      <c r="G657" s="165" t="e">
        <f>MAX(I657,P656)</f>
        <v>#N/A</v>
      </c>
      <c r="H657" s="19" t="e">
        <f>IF(ISBLANK(B657),0,+#REF!/B657)</f>
        <v>#REF!</v>
      </c>
      <c r="I657" s="140">
        <f>(E657*120*$K$608)+$J$608</f>
        <v>1231.26</v>
      </c>
      <c r="J657" s="53">
        <f>IF(ISBLANK(B657),0,+J$608)</f>
        <v>1231.26</v>
      </c>
      <c r="K657" s="16">
        <f>IF($B657&gt;K656,ROUND(K656*K$608,2),ROUND($B657*K$608,2))</f>
        <v>-0.08</v>
      </c>
      <c r="L657" s="17">
        <f>IF($B657&gt;K656,ROUND((B657-K656)*L$608,2),0)</f>
        <v>0</v>
      </c>
      <c r="M657" s="17">
        <f>IF($C657&gt;L$518,ROUND(($C657-L$518)*M$517,2),0)</f>
        <v>0</v>
      </c>
      <c r="N657" s="17">
        <f>SUM(K657:L657)</f>
        <v>-0.08</v>
      </c>
      <c r="O657" s="17"/>
      <c r="P657" s="12"/>
      <c r="Q657" s="17">
        <f t="shared" si="42"/>
        <v>0</v>
      </c>
      <c r="R657" s="16" t="e">
        <f>ROUND(SUM(K657:M657)*(R656-1),2)</f>
        <v>#N/A</v>
      </c>
      <c r="S657" s="17">
        <f>ROUND($B657*S$608*S656,2)</f>
        <v>0</v>
      </c>
      <c r="T657" s="17">
        <f>ROUND($B657*T$608,2)</f>
        <v>0</v>
      </c>
      <c r="U657" s="17">
        <f>ROUND($B657*U$608,2)</f>
        <v>0</v>
      </c>
      <c r="V657" s="17">
        <f>ROUND($B657*V$604,2)</f>
        <v>0</v>
      </c>
      <c r="W657" s="17">
        <f>ROUND($B657*W$608,2)</f>
        <v>0</v>
      </c>
      <c r="X657" s="17">
        <f>ROUND($B657*X$608,2)</f>
        <v>0</v>
      </c>
      <c r="Y657" s="17">
        <f>ROUND($B657*Y$608,2)</f>
        <v>0</v>
      </c>
      <c r="Z657" s="17">
        <f>ROUND($B657*Z$608,2)</f>
        <v>0</v>
      </c>
      <c r="AA657" s="17">
        <f>ROUND($B657*AA$608,2)</f>
        <v>0</v>
      </c>
      <c r="AB657" s="19">
        <f>SUM(U652:AA652)</f>
        <v>0</v>
      </c>
      <c r="AC657" s="78" t="str">
        <f>+F657</f>
        <v>PH0</v>
      </c>
    </row>
    <row r="658" spans="1:29" ht="13" x14ac:dyDescent="0.3">
      <c r="A658" s="9"/>
      <c r="B658" s="111">
        <v>-1</v>
      </c>
      <c r="D658" s="8"/>
      <c r="E658" s="9"/>
      <c r="F658" s="37"/>
      <c r="H658" s="12"/>
      <c r="I658" s="19"/>
      <c r="J658" s="12"/>
      <c r="K658" s="44">
        <f>ROUND(C659*K$609,0)</f>
        <v>25000</v>
      </c>
      <c r="L658" s="36">
        <f>+B659-K658</f>
        <v>-25001</v>
      </c>
      <c r="M658" s="12"/>
      <c r="N658" s="12"/>
      <c r="O658" s="12"/>
      <c r="P658" s="17" t="e">
        <f>SUM(J659:M659,R659:AA659)</f>
        <v>#N/A</v>
      </c>
      <c r="Q658" s="17">
        <f t="shared" si="42"/>
        <v>0</v>
      </c>
      <c r="R658" s="39" t="e">
        <f>VLOOKUP((D659),'Pwr Factor'!$A$1:$B$52,2)</f>
        <v>#N/A</v>
      </c>
      <c r="S658" s="51">
        <v>0.1</v>
      </c>
      <c r="T658" s="12"/>
      <c r="U658" s="12"/>
      <c r="V658" s="12"/>
      <c r="W658" s="12"/>
      <c r="X658" s="12"/>
      <c r="Y658" s="12"/>
      <c r="Z658" s="12"/>
      <c r="AA658" s="12"/>
    </row>
    <row r="659" spans="1:29" ht="13" x14ac:dyDescent="0.3">
      <c r="A659" s="57" t="s">
        <v>173</v>
      </c>
      <c r="B659" s="111">
        <f>IF(AND('AES Indiana Sep 23 Bill Calc.'!$D$17="PH",'AES Indiana Sep 23 Bill Calc.'!$D$18="Yes 10%",'AES Indiana Sep 23 Bill Calc.'!$D$20="Yes 2020"),'AES Indiana Sep 23 Bill Calc.'!$D$19,-1)</f>
        <v>-1</v>
      </c>
      <c r="C659" s="111">
        <f>MAX(E659,$C$609)</f>
        <v>100</v>
      </c>
      <c r="D659" s="111" t="b">
        <f>IF(AND('AES Indiana Sep 23 Bill Calc.'!$D$17="PH",'AES Indiana Sep 23 Bill Calc.'!$D$18="Yes 10%",'AES Indiana Sep 23 Bill Calc.'!$D$20="Yes 2020"),'AES Indiana Sep 23 Bill Calc.'!$D$22)</f>
        <v>0</v>
      </c>
      <c r="E659" s="111" t="b">
        <f>IF(AND('AES Indiana Sep 23 Bill Calc.'!$D$17="PH",'AES Indiana Sep 23 Bill Calc.'!$D$18="Yes 10%",'AES Indiana Sep 23 Bill Calc.'!$D$20="Yes 2020"),'AES Indiana Sep 23 Bill Calc.'!$D$21)</f>
        <v>0</v>
      </c>
      <c r="F659" s="37" t="s">
        <v>150</v>
      </c>
      <c r="G659" s="165" t="e">
        <f>MAX(I659,P658)</f>
        <v>#N/A</v>
      </c>
      <c r="H659" s="19" t="e">
        <f>IF(ISBLANK(B659),0,+#REF!/B659)</f>
        <v>#REF!</v>
      </c>
      <c r="I659" s="140">
        <f>(E659*120*$K$608)+$J$608</f>
        <v>1231.26</v>
      </c>
      <c r="J659" s="53">
        <f>IF(ISBLANK(B659),0,+J$608)</f>
        <v>1231.26</v>
      </c>
      <c r="K659" s="16">
        <f>IF($B659&gt;K658,ROUND(K658*K$608,2),ROUND($B659*K$608,2))</f>
        <v>-0.08</v>
      </c>
      <c r="L659" s="17">
        <f>IF($B659&gt;K658,ROUND((B659-K658)*L$608,2),0)</f>
        <v>0</v>
      </c>
      <c r="M659" s="17">
        <f>IF($C659&gt;L$518,ROUND(($C659-L$518)*M$517,2),0)</f>
        <v>0</v>
      </c>
      <c r="N659" s="17">
        <f>SUM(K659:L659)</f>
        <v>-0.08</v>
      </c>
      <c r="O659" s="17"/>
      <c r="P659" s="12"/>
      <c r="Q659" s="17">
        <f t="shared" si="42"/>
        <v>0</v>
      </c>
      <c r="R659" s="16" t="e">
        <f>ROUND(SUM(K659:M659)*(R658-1),2)</f>
        <v>#N/A</v>
      </c>
      <c r="S659" s="17">
        <f>ROUND($B659*S$608*S658,2)</f>
        <v>0</v>
      </c>
      <c r="T659" s="17">
        <f>ROUND($B659*T$608,2)</f>
        <v>0</v>
      </c>
      <c r="U659" s="17">
        <f>ROUND($B659*U$608,2)</f>
        <v>0</v>
      </c>
      <c r="V659" s="17">
        <f>ROUND($B659*V$604,2)</f>
        <v>0</v>
      </c>
      <c r="W659" s="17">
        <f>ROUND($B659*W$608,2)</f>
        <v>0</v>
      </c>
      <c r="X659" s="17">
        <f>ROUND($B659*X$608,2)</f>
        <v>0</v>
      </c>
      <c r="Y659" s="17">
        <f>ROUND($B659*Y$608,2)</f>
        <v>0</v>
      </c>
      <c r="Z659" s="17">
        <f>ROUND($B659*Z$608,2)</f>
        <v>0</v>
      </c>
      <c r="AA659" s="17">
        <f>ROUND($B659*AA$608,2)</f>
        <v>0</v>
      </c>
      <c r="AB659" s="19">
        <f>SUM(U654:AA654)</f>
        <v>0</v>
      </c>
      <c r="AC659" s="78" t="str">
        <f>+F659</f>
        <v>PH0</v>
      </c>
    </row>
    <row r="660" spans="1:29" ht="13" x14ac:dyDescent="0.3">
      <c r="A660" s="9"/>
      <c r="B660" s="111">
        <v>-1</v>
      </c>
      <c r="D660" s="8"/>
      <c r="E660" s="9"/>
      <c r="F660" s="37"/>
      <c r="H660" s="12"/>
      <c r="I660" s="19"/>
      <c r="J660" s="12"/>
      <c r="K660" s="44">
        <f>ROUND(C661*K$609,0)</f>
        <v>25000</v>
      </c>
      <c r="L660" s="36">
        <f>+B661-K660</f>
        <v>-25001</v>
      </c>
      <c r="M660" s="12"/>
      <c r="N660" s="12"/>
      <c r="O660" s="12"/>
      <c r="P660" s="17" t="e">
        <f>SUM(J661:M661,R661:AA661)</f>
        <v>#N/A</v>
      </c>
      <c r="Q660" s="17">
        <f t="shared" si="42"/>
        <v>0</v>
      </c>
      <c r="R660" s="39" t="e">
        <f>VLOOKUP((D661),'Pwr Factor'!$A$1:$B$52,2)</f>
        <v>#N/A</v>
      </c>
      <c r="S660" s="51">
        <v>0</v>
      </c>
      <c r="T660" s="12"/>
      <c r="U660" s="12"/>
      <c r="V660" s="12"/>
      <c r="W660" s="12"/>
      <c r="X660" s="12"/>
      <c r="Y660" s="12"/>
      <c r="Z660" s="12"/>
      <c r="AA660" s="12"/>
    </row>
    <row r="661" spans="1:29" ht="13" x14ac:dyDescent="0.3">
      <c r="A661" s="57" t="s">
        <v>172</v>
      </c>
      <c r="B661" s="111">
        <f>IF(AND('AES Indiana Sep 23 Bill Calc.'!$D$17="PH",'AES Indiana Sep 23 Bill Calc.'!$D$18="No",'AES Indiana Sep 23 Bill Calc.'!$D$20="Yes 2020"),'AES Indiana Sep 23 Bill Calc.'!$D$19,-1)</f>
        <v>-1</v>
      </c>
      <c r="C661" s="111">
        <f>MAX(E661,$C$609)</f>
        <v>100</v>
      </c>
      <c r="D661" s="111" t="b">
        <f>IF(AND('AES Indiana Sep 23 Bill Calc.'!$D$17="PH",'AES Indiana Sep 23 Bill Calc.'!$D$18="No",'AES Indiana Sep 23 Bill Calc.'!$D$20="Yes 2020"),'AES Indiana Sep 23 Bill Calc.'!$D$22)</f>
        <v>0</v>
      </c>
      <c r="E661" s="111" t="b">
        <f>IF(AND('AES Indiana Sep 23 Bill Calc.'!$D$17="PH",'AES Indiana Sep 23 Bill Calc.'!$D$18="No",'AES Indiana Sep 23 Bill Calc.'!$D$20="Yes 2020"),'AES Indiana Sep 23 Bill Calc.'!$D$21)</f>
        <v>0</v>
      </c>
      <c r="F661" s="37" t="s">
        <v>150</v>
      </c>
      <c r="G661" s="165" t="e">
        <f>MAX(I661,P660)</f>
        <v>#N/A</v>
      </c>
      <c r="H661" s="19" t="e">
        <f>IF(ISBLANK(B661),0,+#REF!/B661)</f>
        <v>#REF!</v>
      </c>
      <c r="I661" s="140">
        <f>(E661*120*$K$608)+$J$608</f>
        <v>1231.26</v>
      </c>
      <c r="J661" s="53">
        <f>IF(ISBLANK(B661),0,+J$608)</f>
        <v>1231.26</v>
      </c>
      <c r="K661" s="16">
        <f>IF($B661&gt;K660,ROUND(K660*K$608,2),ROUND($B661*K$608,2))</f>
        <v>-0.08</v>
      </c>
      <c r="L661" s="17">
        <f>IF($B661&gt;K660,ROUND((B661-K660)*L$608,2),0)</f>
        <v>0</v>
      </c>
      <c r="M661" s="17">
        <f>IF($C661&gt;L$518,ROUND(($C661-L$518)*M$517,2),0)</f>
        <v>0</v>
      </c>
      <c r="N661" s="17">
        <f>SUM(K661:L661)</f>
        <v>-0.08</v>
      </c>
      <c r="O661" s="17"/>
      <c r="P661" s="12"/>
      <c r="Q661" s="17">
        <f t="shared" si="42"/>
        <v>0</v>
      </c>
      <c r="R661" s="16" t="e">
        <f>ROUND(SUM(K661:M661)*(R660-1),2)</f>
        <v>#N/A</v>
      </c>
      <c r="S661" s="17">
        <f>ROUND($B661*S$608*S660,2)</f>
        <v>0</v>
      </c>
      <c r="T661" s="17">
        <f>ROUND($B661*T$608,2)</f>
        <v>0</v>
      </c>
      <c r="U661" s="17">
        <f>ROUND($B661*U$608,2)</f>
        <v>0</v>
      </c>
      <c r="V661" s="17">
        <f>ROUND($B661*V$604,2)</f>
        <v>0</v>
      </c>
      <c r="W661" s="17">
        <f>ROUND($B661*W$608,2)</f>
        <v>0</v>
      </c>
      <c r="X661" s="17">
        <f>ROUND($B661*X$608,2)</f>
        <v>0</v>
      </c>
      <c r="Y661" s="17">
        <f>ROUND($B661*Y$608,2)</f>
        <v>0</v>
      </c>
      <c r="Z661" s="17">
        <f>ROUND($B661*Z$608,2)</f>
        <v>0</v>
      </c>
      <c r="AA661" s="17">
        <f>ROUND($B661*AA$608,2)</f>
        <v>0</v>
      </c>
      <c r="AB661" s="19">
        <f>SUM(U656:AA656)</f>
        <v>0</v>
      </c>
      <c r="AC661" s="78" t="str">
        <f>+F661</f>
        <v>PH0</v>
      </c>
    </row>
    <row r="662" spans="1:29" ht="13" x14ac:dyDescent="0.3">
      <c r="A662" s="9"/>
      <c r="B662" s="111">
        <v>-1</v>
      </c>
      <c r="D662" s="8"/>
      <c r="E662" s="9"/>
      <c r="F662" s="37"/>
      <c r="H662" s="12"/>
      <c r="I662" s="19"/>
      <c r="J662" s="12"/>
      <c r="K662" s="44">
        <f>ROUND(C663*K$609,0)</f>
        <v>25000</v>
      </c>
      <c r="L662" s="36">
        <f>+B663-K662</f>
        <v>-25001</v>
      </c>
      <c r="M662" s="12"/>
      <c r="N662" s="12"/>
      <c r="O662" s="12"/>
      <c r="P662" s="17" t="e">
        <f>SUM(J663:M663,R663:AA663)</f>
        <v>#N/A</v>
      </c>
      <c r="Q662" s="17">
        <f t="shared" si="42"/>
        <v>0</v>
      </c>
      <c r="R662" s="39" t="e">
        <f>VLOOKUP((D663),'Pwr Factor'!$A$1:$B$52,2)</f>
        <v>#N/A</v>
      </c>
      <c r="S662" s="51">
        <v>1</v>
      </c>
      <c r="T662" s="12"/>
      <c r="U662" s="12"/>
      <c r="V662" s="12"/>
      <c r="W662" s="12"/>
      <c r="X662" s="12"/>
      <c r="Y662" s="12"/>
      <c r="Z662" s="12"/>
      <c r="AA662" s="12"/>
    </row>
    <row r="663" spans="1:29" ht="13" x14ac:dyDescent="0.3">
      <c r="A663" s="1" t="s">
        <v>73</v>
      </c>
      <c r="B663" s="111">
        <f>IF(AND('AES Indiana Sep 23 Bill Calc.'!$D$17="PH",'AES Indiana Sep 23 Bill Calc.'!$D$18="Yes 100%",'AES Indiana Sep 23 Bill Calc.'!$D$20="Yes 2021"),'AES Indiana Sep 23 Bill Calc.'!$D$19,-1)</f>
        <v>-1</v>
      </c>
      <c r="C663" s="111">
        <f>MAX(E663,$C$609)</f>
        <v>100</v>
      </c>
      <c r="D663" s="111" t="b">
        <f>IF(AND('AES Indiana Sep 23 Bill Calc.'!$D$17="PH",'AES Indiana Sep 23 Bill Calc.'!$D$18="Yes 100%",'AES Indiana Sep 23 Bill Calc.'!$D$20="Yes 2021"),'AES Indiana Sep 23 Bill Calc.'!$D$22)</f>
        <v>0</v>
      </c>
      <c r="E663" s="111" t="b">
        <f>IF(AND('AES Indiana Sep 23 Bill Calc.'!$D$17="PH",'AES Indiana Sep 23 Bill Calc.'!$D$18="Yes 100%",'AES Indiana Sep 23 Bill Calc.'!$D$20="Yes 2021"),'AES Indiana Sep 23 Bill Calc.'!$D$21)</f>
        <v>0</v>
      </c>
      <c r="F663" s="37" t="s">
        <v>186</v>
      </c>
      <c r="G663" s="165" t="e">
        <f>MAX(I663,P662)</f>
        <v>#N/A</v>
      </c>
      <c r="H663" s="19" t="e">
        <f>IF(ISBLANK(B663),0,+#REF!/B663)</f>
        <v>#REF!</v>
      </c>
      <c r="I663" s="140">
        <f>(E663*120*$K$608)+$J$608</f>
        <v>1231.26</v>
      </c>
      <c r="J663" s="53">
        <f>IF(ISBLANK(B663),0,+J$608)</f>
        <v>1231.26</v>
      </c>
      <c r="K663" s="16">
        <f>IF($B663&gt;K662,ROUND(K662*K$608,2),ROUND($B663*K$608,2))</f>
        <v>-0.08</v>
      </c>
      <c r="L663" s="17">
        <f>IF($B663&gt;K662,ROUND((B663-K662)*L$608,2),0)</f>
        <v>0</v>
      </c>
      <c r="M663" s="17">
        <f>IF($C663&gt;L$518,ROUND(($C663-L$518)*M$517,2),0)</f>
        <v>0</v>
      </c>
      <c r="N663" s="17">
        <f>SUM(K663:L663)</f>
        <v>-0.08</v>
      </c>
      <c r="O663" s="17"/>
      <c r="P663" s="12"/>
      <c r="Q663" s="17">
        <f t="shared" si="42"/>
        <v>0</v>
      </c>
      <c r="R663" s="16" t="e">
        <f>ROUND(SUM(K663:M663)*(R662-1),2)</f>
        <v>#N/A</v>
      </c>
      <c r="S663" s="17">
        <f>ROUND($B663*S$608*S662,2)</f>
        <v>0</v>
      </c>
      <c r="T663" s="17">
        <f>ROUND($B663*T$608,2)</f>
        <v>0</v>
      </c>
      <c r="U663" s="17">
        <f>ROUND($B663*U$608,2)</f>
        <v>0</v>
      </c>
      <c r="V663" s="17">
        <f>ROUND($B663*V$605,2)</f>
        <v>0</v>
      </c>
      <c r="W663" s="17">
        <f>ROUND($B663*W$608,2)</f>
        <v>0</v>
      </c>
      <c r="X663" s="17">
        <f>ROUND($B663*X$608,2)</f>
        <v>0</v>
      </c>
      <c r="Y663" s="17">
        <f>ROUND($B663*Y$608,2)</f>
        <v>0</v>
      </c>
      <c r="Z663" s="17">
        <f>ROUND($B663*Z$608,2)</f>
        <v>0</v>
      </c>
      <c r="AA663" s="17">
        <f>ROUND($B663*AA$608,2)</f>
        <v>0</v>
      </c>
      <c r="AB663" s="19">
        <f>SUM(U658:AA658)</f>
        <v>0</v>
      </c>
      <c r="AC663" s="78" t="str">
        <f>+F663</f>
        <v>PH1</v>
      </c>
    </row>
    <row r="664" spans="1:29" ht="13" x14ac:dyDescent="0.3">
      <c r="A664" s="9"/>
      <c r="B664" s="111">
        <v>-1</v>
      </c>
      <c r="D664" s="8"/>
      <c r="E664" s="9"/>
      <c r="F664" s="37"/>
      <c r="H664" s="12"/>
      <c r="I664" s="19"/>
      <c r="J664" s="12"/>
      <c r="K664" s="44">
        <f>ROUND(C665*K$609,0)</f>
        <v>25000</v>
      </c>
      <c r="L664" s="36">
        <f>+B665-K664</f>
        <v>-25001</v>
      </c>
      <c r="M664" s="12"/>
      <c r="N664" s="12"/>
      <c r="O664" s="12"/>
      <c r="P664" s="17" t="e">
        <f>SUM(J665:M665,R665:AA665)</f>
        <v>#N/A</v>
      </c>
      <c r="Q664" s="17">
        <f t="shared" si="42"/>
        <v>0</v>
      </c>
      <c r="R664" s="39" t="e">
        <f>VLOOKUP((D665),'Pwr Factor'!$A$1:$B$52,2)</f>
        <v>#N/A</v>
      </c>
      <c r="S664" s="51">
        <v>0.5</v>
      </c>
      <c r="T664" s="12"/>
      <c r="U664" s="12"/>
      <c r="V664" s="12"/>
      <c r="W664" s="12"/>
      <c r="X664" s="12"/>
      <c r="Y664" s="12"/>
      <c r="Z664" s="12"/>
      <c r="AA664" s="12"/>
    </row>
    <row r="665" spans="1:29" ht="13" x14ac:dyDescent="0.3">
      <c r="A665" s="57" t="s">
        <v>171</v>
      </c>
      <c r="B665" s="111">
        <f>IF(AND('AES Indiana Sep 23 Bill Calc.'!$D$17="PH",'AES Indiana Sep 23 Bill Calc.'!$D$18="Yes 50%",'AES Indiana Sep 23 Bill Calc.'!$D$20="Yes 2021"),'AES Indiana Sep 23 Bill Calc.'!$D$19,-1)</f>
        <v>-1</v>
      </c>
      <c r="C665" s="111">
        <f>MAX(E665,$C$609)</f>
        <v>100</v>
      </c>
      <c r="D665" s="111" t="b">
        <f>IF(AND('AES Indiana Sep 23 Bill Calc.'!$D$17="PH",'AES Indiana Sep 23 Bill Calc.'!$D$18="Yes 50%",'AES Indiana Sep 23 Bill Calc.'!$D$20="Yes 2021"),'AES Indiana Sep 23 Bill Calc.'!$D$22)</f>
        <v>0</v>
      </c>
      <c r="E665" s="111" t="b">
        <f>IF(AND('AES Indiana Sep 23 Bill Calc.'!$D$17="PH",'AES Indiana Sep 23 Bill Calc.'!$D$18="Yes 50%",'AES Indiana Sep 23 Bill Calc.'!$D$20="Yes 2021"),'AES Indiana Sep 23 Bill Calc.'!$D$21)</f>
        <v>0</v>
      </c>
      <c r="F665" s="37" t="s">
        <v>186</v>
      </c>
      <c r="G665" s="165" t="e">
        <f>MAX(I665,P664)</f>
        <v>#N/A</v>
      </c>
      <c r="H665" s="19" t="e">
        <f>IF(ISBLANK(B665),0,+#REF!/B665)</f>
        <v>#REF!</v>
      </c>
      <c r="I665" s="140">
        <f>(E665*120*$K$608)+$J$608</f>
        <v>1231.26</v>
      </c>
      <c r="J665" s="53">
        <f>IF(ISBLANK(B665),0,+J$608)</f>
        <v>1231.26</v>
      </c>
      <c r="K665" s="16">
        <f>IF($B665&gt;K664,ROUND(K664*K$608,2),ROUND($B665*K$608,2))</f>
        <v>-0.08</v>
      </c>
      <c r="L665" s="17">
        <f>IF($B665&gt;K664,ROUND((B665-K664)*L$608,2),0)</f>
        <v>0</v>
      </c>
      <c r="M665" s="17">
        <f>IF($C665&gt;L$518,ROUND(($C665-L$518)*M$517,2),0)</f>
        <v>0</v>
      </c>
      <c r="N665" s="17">
        <f>SUM(K665:L665)</f>
        <v>-0.08</v>
      </c>
      <c r="O665" s="17"/>
      <c r="P665" s="12"/>
      <c r="Q665" s="17">
        <f t="shared" si="42"/>
        <v>0</v>
      </c>
      <c r="R665" s="16" t="e">
        <f>ROUND(SUM(K665:M665)*(R664-1),2)</f>
        <v>#N/A</v>
      </c>
      <c r="S665" s="17">
        <f>ROUND($B665*S$608*S664,2)</f>
        <v>0</v>
      </c>
      <c r="T665" s="17">
        <f>ROUND($B665*T$608,2)</f>
        <v>0</v>
      </c>
      <c r="U665" s="17">
        <f>ROUND($B665*U$608,2)</f>
        <v>0</v>
      </c>
      <c r="V665" s="17">
        <f>ROUND($B665*V$605,2)</f>
        <v>0</v>
      </c>
      <c r="W665" s="17">
        <f>ROUND($B665*W$608,2)</f>
        <v>0</v>
      </c>
      <c r="X665" s="17">
        <f>ROUND($B665*X$608,2)</f>
        <v>0</v>
      </c>
      <c r="Y665" s="17">
        <f>ROUND($B665*Y$608,2)</f>
        <v>0</v>
      </c>
      <c r="Z665" s="17">
        <f>ROUND($B665*Z$608,2)</f>
        <v>0</v>
      </c>
      <c r="AA665" s="17">
        <f>ROUND($B665*AA$608,2)</f>
        <v>0</v>
      </c>
      <c r="AB665" s="19">
        <f>SUM(U660:AA660)</f>
        <v>0</v>
      </c>
      <c r="AC665" s="78" t="str">
        <f>+F665</f>
        <v>PH1</v>
      </c>
    </row>
    <row r="666" spans="1:29" ht="13" x14ac:dyDescent="0.3">
      <c r="A666" s="9"/>
      <c r="B666" s="111">
        <v>-1</v>
      </c>
      <c r="D666" s="8"/>
      <c r="E666" s="9"/>
      <c r="F666" s="37"/>
      <c r="H666" s="12"/>
      <c r="I666" s="19"/>
      <c r="J666" s="12"/>
      <c r="K666" s="44">
        <f>ROUND(C667*K$609,0)</f>
        <v>25000</v>
      </c>
      <c r="L666" s="36">
        <f>+B667-K666</f>
        <v>-25001</v>
      </c>
      <c r="M666" s="12"/>
      <c r="N666" s="12"/>
      <c r="O666" s="12"/>
      <c r="P666" s="17" t="e">
        <f>SUM(J667:M667,R667:AA667)</f>
        <v>#N/A</v>
      </c>
      <c r="Q666" s="17">
        <f t="shared" si="42"/>
        <v>0</v>
      </c>
      <c r="R666" s="39" t="e">
        <f>VLOOKUP((D667),'Pwr Factor'!$A$1:$B$52,2)</f>
        <v>#N/A</v>
      </c>
      <c r="S666" s="51">
        <v>0.25</v>
      </c>
      <c r="T666" s="12"/>
      <c r="U666" s="12"/>
      <c r="V666" s="12"/>
      <c r="W666" s="12"/>
      <c r="X666" s="12"/>
      <c r="Y666" s="12"/>
      <c r="Z666" s="12"/>
      <c r="AA666" s="12"/>
    </row>
    <row r="667" spans="1:29" ht="13" x14ac:dyDescent="0.3">
      <c r="A667" s="57" t="s">
        <v>158</v>
      </c>
      <c r="B667" s="111">
        <f>IF(AND('AES Indiana Sep 23 Bill Calc.'!$D$17="PH",'AES Indiana Sep 23 Bill Calc.'!$D$18="Yes 25%",'AES Indiana Sep 23 Bill Calc.'!$D$20="Yes 2021"),'AES Indiana Sep 23 Bill Calc.'!$D$19,-1)</f>
        <v>-1</v>
      </c>
      <c r="C667" s="111">
        <f>MAX(E667,$C$609)</f>
        <v>100</v>
      </c>
      <c r="D667" s="111" t="b">
        <f>IF(AND('AES Indiana Sep 23 Bill Calc.'!$D$17="PH",'AES Indiana Sep 23 Bill Calc.'!$D$18="Yes 25%",'AES Indiana Sep 23 Bill Calc.'!$D$20="Yes 2021"),'AES Indiana Sep 23 Bill Calc.'!$D$22)</f>
        <v>0</v>
      </c>
      <c r="E667" s="111" t="b">
        <f>IF(AND('AES Indiana Sep 23 Bill Calc.'!$D$17="PH",'AES Indiana Sep 23 Bill Calc.'!$D$18="Yes 25%",'AES Indiana Sep 23 Bill Calc.'!$D$20="Yes 2021"),'AES Indiana Sep 23 Bill Calc.'!$D$21)</f>
        <v>0</v>
      </c>
      <c r="F667" s="37" t="s">
        <v>186</v>
      </c>
      <c r="G667" s="165" t="e">
        <f>MAX(I667,P666)</f>
        <v>#N/A</v>
      </c>
      <c r="H667" s="19" t="e">
        <f>IF(ISBLANK(B667),0,+#REF!/B667)</f>
        <v>#REF!</v>
      </c>
      <c r="I667" s="140">
        <f>(E667*120*$K$608)+$J$608</f>
        <v>1231.26</v>
      </c>
      <c r="J667" s="53">
        <f>IF(ISBLANK(B667),0,+J$608)</f>
        <v>1231.26</v>
      </c>
      <c r="K667" s="16">
        <f>IF($B667&gt;K666,ROUND(K666*K$608,2),ROUND($B667*K$608,2))</f>
        <v>-0.08</v>
      </c>
      <c r="L667" s="17">
        <f>IF($B667&gt;K666,ROUND((B667-K666)*L$608,2),0)</f>
        <v>0</v>
      </c>
      <c r="M667" s="17">
        <f>IF($C667&gt;L$518,ROUND(($C667-L$518)*M$517,2),0)</f>
        <v>0</v>
      </c>
      <c r="N667" s="17">
        <f>SUM(K667:L667)</f>
        <v>-0.08</v>
      </c>
      <c r="O667" s="17"/>
      <c r="P667" s="12"/>
      <c r="Q667" s="17">
        <f t="shared" si="42"/>
        <v>0</v>
      </c>
      <c r="R667" s="16" t="e">
        <f>ROUND(SUM(K667:M667)*(R666-1),2)</f>
        <v>#N/A</v>
      </c>
      <c r="S667" s="17">
        <f>ROUND($B667*S$608*S666,2)</f>
        <v>0</v>
      </c>
      <c r="T667" s="17">
        <f>ROUND($B667*T$608,2)</f>
        <v>0</v>
      </c>
      <c r="U667" s="17">
        <f>ROUND($B667*U$608,2)</f>
        <v>0</v>
      </c>
      <c r="V667" s="17">
        <f>ROUND($B667*V$605,2)</f>
        <v>0</v>
      </c>
      <c r="W667" s="17">
        <f>ROUND($B667*W$608,2)</f>
        <v>0</v>
      </c>
      <c r="X667" s="17">
        <f>ROUND($B667*X$608,2)</f>
        <v>0</v>
      </c>
      <c r="Y667" s="17">
        <f>ROUND($B667*Y$608,2)</f>
        <v>0</v>
      </c>
      <c r="Z667" s="17">
        <f>ROUND($B667*Z$608,2)</f>
        <v>0</v>
      </c>
      <c r="AA667" s="17">
        <f>ROUND($B667*AA$608,2)</f>
        <v>0</v>
      </c>
      <c r="AB667" s="19">
        <f>SUM(U662:AA662)</f>
        <v>0</v>
      </c>
      <c r="AC667" s="78" t="str">
        <f>+F667</f>
        <v>PH1</v>
      </c>
    </row>
    <row r="668" spans="1:29" ht="13" x14ac:dyDescent="0.3">
      <c r="A668" s="9"/>
      <c r="B668" s="111">
        <v>-1</v>
      </c>
      <c r="D668" s="8"/>
      <c r="E668" s="9"/>
      <c r="F668" s="37"/>
      <c r="H668" s="12"/>
      <c r="I668" s="19"/>
      <c r="J668" s="12"/>
      <c r="K668" s="44">
        <f>ROUND(C669*K$609,0)</f>
        <v>25000</v>
      </c>
      <c r="L668" s="36">
        <f>+B669-K668</f>
        <v>-25001</v>
      </c>
      <c r="M668" s="12"/>
      <c r="N668" s="12"/>
      <c r="O668" s="12"/>
      <c r="P668" s="17" t="e">
        <f>SUM(J669:M669,R669:AA669)</f>
        <v>#N/A</v>
      </c>
      <c r="Q668" s="17">
        <f t="shared" si="42"/>
        <v>0</v>
      </c>
      <c r="R668" s="39" t="e">
        <f>VLOOKUP((D669),'Pwr Factor'!$A$1:$B$52,2)</f>
        <v>#N/A</v>
      </c>
      <c r="S668" s="51">
        <v>0.1</v>
      </c>
      <c r="T668" s="12"/>
      <c r="U668" s="12"/>
      <c r="V668" s="12"/>
      <c r="W668" s="12"/>
      <c r="X668" s="12"/>
      <c r="Y668" s="12"/>
      <c r="Z668" s="12"/>
      <c r="AA668" s="12"/>
    </row>
    <row r="669" spans="1:29" ht="13" x14ac:dyDescent="0.3">
      <c r="A669" s="57" t="s">
        <v>173</v>
      </c>
      <c r="B669" s="111">
        <f>IF(AND('AES Indiana Sep 23 Bill Calc.'!$D$17="PH",'AES Indiana Sep 23 Bill Calc.'!$D$18="Yes 10%",'AES Indiana Sep 23 Bill Calc.'!$D$20="Yes 2021"),'AES Indiana Sep 23 Bill Calc.'!$D$19,-1)</f>
        <v>-1</v>
      </c>
      <c r="C669" s="111">
        <f>MAX(E669,$C$609)</f>
        <v>100</v>
      </c>
      <c r="D669" s="111" t="b">
        <f>IF(AND('AES Indiana Sep 23 Bill Calc.'!$D$17="PH",'AES Indiana Sep 23 Bill Calc.'!$D$18="Yes 10%",'AES Indiana Sep 23 Bill Calc.'!$D$20="Yes 2021"),'AES Indiana Sep 23 Bill Calc.'!$D$22)</f>
        <v>0</v>
      </c>
      <c r="E669" s="111" t="b">
        <f>IF(AND('AES Indiana Sep 23 Bill Calc.'!$D$17="PH",'AES Indiana Sep 23 Bill Calc.'!$D$18="Yes 10%",'AES Indiana Sep 23 Bill Calc.'!$D$20="Yes 2021"),'AES Indiana Sep 23 Bill Calc.'!$D$21)</f>
        <v>0</v>
      </c>
      <c r="F669" s="37" t="s">
        <v>186</v>
      </c>
      <c r="G669" s="165" t="e">
        <f>MAX(I669,P668)</f>
        <v>#N/A</v>
      </c>
      <c r="H669" s="19" t="e">
        <f>IF(ISBLANK(B669),0,+#REF!/B669)</f>
        <v>#REF!</v>
      </c>
      <c r="I669" s="140">
        <f>(E669*120*$K$608)+$J$608</f>
        <v>1231.26</v>
      </c>
      <c r="J669" s="53">
        <f>IF(ISBLANK(B669),0,+J$608)</f>
        <v>1231.26</v>
      </c>
      <c r="K669" s="16">
        <f>IF($B669&gt;K668,ROUND(K668*K$608,2),ROUND($B669*K$608,2))</f>
        <v>-0.08</v>
      </c>
      <c r="L669" s="17">
        <f>IF($B669&gt;K668,ROUND((B669-K668)*L$608,2),0)</f>
        <v>0</v>
      </c>
      <c r="M669" s="17">
        <f>IF($C669&gt;L$518,ROUND(($C669-L$518)*M$517,2),0)</f>
        <v>0</v>
      </c>
      <c r="N669" s="17">
        <f>SUM(K669:L669)</f>
        <v>-0.08</v>
      </c>
      <c r="O669" s="17"/>
      <c r="P669" s="12"/>
      <c r="Q669" s="17">
        <f t="shared" si="42"/>
        <v>0</v>
      </c>
      <c r="R669" s="16" t="e">
        <f>ROUND(SUM(K669:M669)*(R668-1),2)</f>
        <v>#N/A</v>
      </c>
      <c r="S669" s="17">
        <f>ROUND($B669*S$608*S668,2)</f>
        <v>0</v>
      </c>
      <c r="T669" s="17">
        <f>ROUND($B669*T$608,2)</f>
        <v>0</v>
      </c>
      <c r="U669" s="17">
        <f>ROUND($B669*U$608,2)</f>
        <v>0</v>
      </c>
      <c r="V669" s="17">
        <f>ROUND($B669*V$605,2)</f>
        <v>0</v>
      </c>
      <c r="W669" s="17">
        <f>ROUND($B669*W$608,2)</f>
        <v>0</v>
      </c>
      <c r="X669" s="17">
        <f>ROUND($B669*X$608,2)</f>
        <v>0</v>
      </c>
      <c r="Y669" s="17">
        <f>ROUND($B669*Y$608,2)</f>
        <v>0</v>
      </c>
      <c r="Z669" s="17">
        <f>ROUND($B669*Z$608,2)</f>
        <v>0</v>
      </c>
      <c r="AA669" s="17">
        <f>ROUND($B669*AA$608,2)</f>
        <v>0</v>
      </c>
      <c r="AB669" s="19">
        <f>SUM(U664:AA664)</f>
        <v>0</v>
      </c>
      <c r="AC669" s="78" t="str">
        <f>+F669</f>
        <v>PH1</v>
      </c>
    </row>
    <row r="670" spans="1:29" ht="13" x14ac:dyDescent="0.3">
      <c r="A670" s="9"/>
      <c r="B670" s="111">
        <v>-1</v>
      </c>
      <c r="D670" s="8"/>
      <c r="E670" s="9"/>
      <c r="F670" s="37"/>
      <c r="H670" s="12"/>
      <c r="I670" s="19"/>
      <c r="J670" s="12"/>
      <c r="K670" s="44">
        <f>ROUND(C671*K$609,0)</f>
        <v>25000</v>
      </c>
      <c r="L670" s="36">
        <f>+B671-K670</f>
        <v>-25001</v>
      </c>
      <c r="M670" s="12"/>
      <c r="N670" s="12"/>
      <c r="O670" s="12"/>
      <c r="P670" s="17" t="e">
        <f>SUM(J671:M671,R671:AA671)</f>
        <v>#N/A</v>
      </c>
      <c r="Q670" s="17">
        <f t="shared" si="42"/>
        <v>0</v>
      </c>
      <c r="R670" s="39" t="e">
        <f>VLOOKUP((D671),'Pwr Factor'!$A$1:$B$52,2)</f>
        <v>#N/A</v>
      </c>
      <c r="S670" s="51">
        <v>0</v>
      </c>
      <c r="T670" s="12"/>
      <c r="U670" s="12"/>
      <c r="V670" s="12"/>
      <c r="W670" s="12"/>
      <c r="X670" s="12"/>
      <c r="Y670" s="12"/>
      <c r="Z670" s="12"/>
      <c r="AA670" s="12"/>
    </row>
    <row r="671" spans="1:29" ht="13" x14ac:dyDescent="0.3">
      <c r="A671" s="57" t="s">
        <v>172</v>
      </c>
      <c r="B671" s="111">
        <f>IF(AND('AES Indiana Sep 23 Bill Calc.'!$D$17="PH",'AES Indiana Sep 23 Bill Calc.'!$D$18="No",'AES Indiana Sep 23 Bill Calc.'!$D$20="Yes 2021"),'AES Indiana Sep 23 Bill Calc.'!$D$19,-1)</f>
        <v>-1</v>
      </c>
      <c r="C671" s="111">
        <f>MAX(E671,$C$609)</f>
        <v>100</v>
      </c>
      <c r="D671" s="111" t="b">
        <f>IF(AND('AES Indiana Sep 23 Bill Calc.'!$D$17="PH",'AES Indiana Sep 23 Bill Calc.'!$D$18="No",'AES Indiana Sep 23 Bill Calc.'!$D$20="Yes 2021"),'AES Indiana Sep 23 Bill Calc.'!$D$22)</f>
        <v>0</v>
      </c>
      <c r="E671" s="111" t="b">
        <f>IF(AND('AES Indiana Sep 23 Bill Calc.'!$D$17="PH",'AES Indiana Sep 23 Bill Calc.'!$D$18="No",'AES Indiana Sep 23 Bill Calc.'!$D$20="Yes 2021"),'AES Indiana Sep 23 Bill Calc.'!$D$21)</f>
        <v>0</v>
      </c>
      <c r="F671" s="37" t="s">
        <v>186</v>
      </c>
      <c r="G671" s="165" t="e">
        <f>MAX(I671,P670)</f>
        <v>#N/A</v>
      </c>
      <c r="H671" s="19" t="e">
        <f>IF(ISBLANK(B671),0,+#REF!/B671)</f>
        <v>#REF!</v>
      </c>
      <c r="I671" s="140">
        <f>(E671*120*$K$608)+$J$608</f>
        <v>1231.26</v>
      </c>
      <c r="J671" s="53">
        <f>IF(ISBLANK(B671),0,+J$608)</f>
        <v>1231.26</v>
      </c>
      <c r="K671" s="16">
        <f>IF($B671&gt;K670,ROUND(K670*K$608,2),ROUND($B671*K$608,2))</f>
        <v>-0.08</v>
      </c>
      <c r="L671" s="17">
        <f>IF($B671&gt;K670,ROUND((B671-K670)*L$608,2),0)</f>
        <v>0</v>
      </c>
      <c r="M671" s="17">
        <f>IF($C671&gt;L$518,ROUND(($C671-L$518)*M$517,2),0)</f>
        <v>0</v>
      </c>
      <c r="N671" s="17">
        <f>SUM(K671:L671)</f>
        <v>-0.08</v>
      </c>
      <c r="O671" s="17"/>
      <c r="P671" s="12"/>
      <c r="Q671" s="17">
        <f t="shared" si="42"/>
        <v>0</v>
      </c>
      <c r="R671" s="16" t="e">
        <f>ROUND(SUM(K671:M671)*(R670-1),2)</f>
        <v>#N/A</v>
      </c>
      <c r="S671" s="17">
        <f>ROUND($B671*S$608*S670,2)</f>
        <v>0</v>
      </c>
      <c r="T671" s="17">
        <f>ROUND($B671*T$608,2)</f>
        <v>0</v>
      </c>
      <c r="U671" s="17">
        <f>ROUND($B671*U$608,2)</f>
        <v>0</v>
      </c>
      <c r="V671" s="17">
        <f>ROUND($B671*V$605,2)</f>
        <v>0</v>
      </c>
      <c r="W671" s="17">
        <f>ROUND($B671*W$608,2)</f>
        <v>0</v>
      </c>
      <c r="X671" s="17">
        <f>ROUND($B671*X$608,2)</f>
        <v>0</v>
      </c>
      <c r="Y671" s="17">
        <f>ROUND($B671*Y$608,2)</f>
        <v>0</v>
      </c>
      <c r="Z671" s="17">
        <f>ROUND($B671*Z$608,2)</f>
        <v>0</v>
      </c>
      <c r="AA671" s="17">
        <f>ROUND($B671*AA$608,2)</f>
        <v>0</v>
      </c>
      <c r="AB671" s="19">
        <f>SUM(U666:AA666)</f>
        <v>0</v>
      </c>
      <c r="AC671" s="78" t="str">
        <f>+F671</f>
        <v>PH1</v>
      </c>
    </row>
    <row r="672" spans="1:29" ht="13" x14ac:dyDescent="0.3">
      <c r="A672" s="9"/>
      <c r="B672" s="111">
        <v>-1</v>
      </c>
      <c r="D672" s="8"/>
      <c r="E672" s="9"/>
      <c r="F672" s="37"/>
      <c r="H672" s="12"/>
      <c r="I672" s="19"/>
      <c r="J672" s="12"/>
      <c r="K672" s="44">
        <f>ROUND(C673*K$609,0)</f>
        <v>25000</v>
      </c>
      <c r="L672" s="36">
        <f>+B673-K672</f>
        <v>-25001</v>
      </c>
      <c r="M672" s="12"/>
      <c r="N672" s="12"/>
      <c r="O672" s="12"/>
      <c r="P672" s="17" t="e">
        <f>SUM(J673:M673,R673:AA673)</f>
        <v>#N/A</v>
      </c>
      <c r="Q672" s="17">
        <f t="shared" si="42"/>
        <v>0</v>
      </c>
      <c r="R672" s="39" t="e">
        <f>VLOOKUP((D673),'Pwr Factor'!$A$1:$B$52,2)</f>
        <v>#N/A</v>
      </c>
      <c r="S672" s="51">
        <v>1</v>
      </c>
      <c r="T672" s="12"/>
      <c r="U672" s="12"/>
      <c r="V672" s="12"/>
      <c r="W672" s="12"/>
      <c r="X672" s="12"/>
      <c r="Y672" s="12"/>
      <c r="Z672" s="12"/>
      <c r="AA672" s="12"/>
    </row>
    <row r="673" spans="1:29" ht="13" x14ac:dyDescent="0.3">
      <c r="A673" s="1" t="s">
        <v>73</v>
      </c>
      <c r="B673" s="111">
        <f>IF(AND('AES Indiana Sep 23 Bill Calc.'!$D$17="PH",'AES Indiana Sep 23 Bill Calc.'!$D$18="Yes 100%",'AES Indiana Sep 23 Bill Calc.'!$D$20="Yes 2022"),'AES Indiana Sep 23 Bill Calc.'!$D$19,-1)</f>
        <v>-1</v>
      </c>
      <c r="C673" s="111">
        <f>MAX(E673,$C$609)</f>
        <v>100</v>
      </c>
      <c r="D673" s="111" t="b">
        <f>IF(AND('AES Indiana Sep 23 Bill Calc.'!$D$17="PH",'AES Indiana Sep 23 Bill Calc.'!$D$18="Yes 100%",'AES Indiana Sep 23 Bill Calc.'!$D$20="Yes 2022"),'AES Indiana Sep 23 Bill Calc.'!$D$22)</f>
        <v>0</v>
      </c>
      <c r="E673" s="111" t="b">
        <f>IF(AND('AES Indiana Sep 23 Bill Calc.'!$D$17="PH",'AES Indiana Sep 23 Bill Calc.'!$D$18="Yes 100%",'AES Indiana Sep 23 Bill Calc.'!$D$20="Yes 2022"),'AES Indiana Sep 23 Bill Calc.'!$D$21)</f>
        <v>0</v>
      </c>
      <c r="F673" s="37" t="s">
        <v>187</v>
      </c>
      <c r="G673" s="165" t="e">
        <f>MAX(I673,P672)</f>
        <v>#N/A</v>
      </c>
      <c r="H673" s="19" t="e">
        <f>IF(ISBLANK(B673),0,+#REF!/B673)</f>
        <v>#REF!</v>
      </c>
      <c r="I673" s="140">
        <f>(E673*120*$K$608)+$J$608</f>
        <v>1231.26</v>
      </c>
      <c r="J673" s="53">
        <f>IF(ISBLANK(B673),0,+J$608)</f>
        <v>1231.26</v>
      </c>
      <c r="K673" s="16">
        <f>IF($B673&gt;K672,ROUND(K672*K$608,2),ROUND($B673*K$608,2))</f>
        <v>-0.08</v>
      </c>
      <c r="L673" s="17">
        <f>IF($B673&gt;K672,ROUND((B673-K672)*L$608,2),0)</f>
        <v>0</v>
      </c>
      <c r="M673" s="17">
        <f>IF($C673&gt;L$518,ROUND(($C673-L$518)*M$517,2),0)</f>
        <v>0</v>
      </c>
      <c r="N673" s="17">
        <f>SUM(K673:L673)</f>
        <v>-0.08</v>
      </c>
      <c r="O673" s="17"/>
      <c r="P673" s="12"/>
      <c r="Q673" s="17">
        <f t="shared" si="42"/>
        <v>0</v>
      </c>
      <c r="R673" s="16" t="e">
        <f>ROUND(SUM(K673:M673)*(R672-1),2)</f>
        <v>#N/A</v>
      </c>
      <c r="S673" s="17">
        <f>ROUND($B673*S$608*S672,2)</f>
        <v>0</v>
      </c>
      <c r="T673" s="17">
        <f>ROUND($B673*T$608,2)</f>
        <v>0</v>
      </c>
      <c r="U673" s="17">
        <f>ROUND($B673*U$608,2)</f>
        <v>0</v>
      </c>
      <c r="V673" s="17">
        <f>ROUND($B673*V$606,2)</f>
        <v>0</v>
      </c>
      <c r="W673" s="17">
        <f>ROUND($B673*W$608,2)</f>
        <v>0</v>
      </c>
      <c r="X673" s="17">
        <f>ROUND($B673*X$608,2)</f>
        <v>0</v>
      </c>
      <c r="Y673" s="17">
        <f>ROUND($B673*Y$608,2)</f>
        <v>0</v>
      </c>
      <c r="Z673" s="17">
        <f>ROUND($B673*Z$608,2)</f>
        <v>0</v>
      </c>
      <c r="AA673" s="17">
        <f>ROUND($B673*AA$608,2)</f>
        <v>0</v>
      </c>
      <c r="AB673" s="19">
        <f>SUM(U668:AA668)</f>
        <v>0</v>
      </c>
      <c r="AC673" s="78" t="str">
        <f>+F673</f>
        <v>PH2</v>
      </c>
    </row>
    <row r="674" spans="1:29" ht="13" x14ac:dyDescent="0.3">
      <c r="A674" s="9"/>
      <c r="B674" s="111">
        <v>-1</v>
      </c>
      <c r="D674" s="8"/>
      <c r="E674" s="9"/>
      <c r="F674" s="37"/>
      <c r="H674" s="12"/>
      <c r="I674" s="19"/>
      <c r="J674" s="12"/>
      <c r="K674" s="44">
        <f>ROUND(C675*K$609,0)</f>
        <v>25000</v>
      </c>
      <c r="L674" s="36">
        <f>+B675-K674</f>
        <v>-25001</v>
      </c>
      <c r="M674" s="12"/>
      <c r="N674" s="12"/>
      <c r="O674" s="12"/>
      <c r="P674" s="17" t="e">
        <f>SUM(J675:M675,R675:AA675)</f>
        <v>#N/A</v>
      </c>
      <c r="Q674" s="17">
        <f t="shared" si="42"/>
        <v>0</v>
      </c>
      <c r="R674" s="39" t="e">
        <f>VLOOKUP((D675),'Pwr Factor'!$A$1:$B$52,2)</f>
        <v>#N/A</v>
      </c>
      <c r="S674" s="51">
        <v>0.5</v>
      </c>
      <c r="T674" s="12"/>
      <c r="U674" s="12"/>
      <c r="V674" s="12"/>
      <c r="W674" s="12"/>
      <c r="X674" s="12"/>
      <c r="Y674" s="12"/>
      <c r="Z674" s="12"/>
      <c r="AA674" s="12"/>
    </row>
    <row r="675" spans="1:29" ht="13" x14ac:dyDescent="0.3">
      <c r="A675" s="57" t="s">
        <v>171</v>
      </c>
      <c r="B675" s="111">
        <f>IF(AND('AES Indiana Sep 23 Bill Calc.'!$D$17="PH",'AES Indiana Sep 23 Bill Calc.'!$D$18="Yes 50%",'AES Indiana Sep 23 Bill Calc.'!$D$20="Yes 2022"),'AES Indiana Sep 23 Bill Calc.'!$D$19,-1)</f>
        <v>-1</v>
      </c>
      <c r="C675" s="111">
        <f>MAX(E675,$C$609)</f>
        <v>100</v>
      </c>
      <c r="D675" s="111" t="b">
        <f>IF(AND('AES Indiana Sep 23 Bill Calc.'!$D$17="PH",'AES Indiana Sep 23 Bill Calc.'!$D$18="Yes 50%",'AES Indiana Sep 23 Bill Calc.'!$D$20="Yes 2022"),'AES Indiana Sep 23 Bill Calc.'!$D$22)</f>
        <v>0</v>
      </c>
      <c r="E675" s="111" t="b">
        <f>IF(AND('AES Indiana Sep 23 Bill Calc.'!$D$17="PH",'AES Indiana Sep 23 Bill Calc.'!$D$18="Yes 50%",'AES Indiana Sep 23 Bill Calc.'!$D$20="Yes 2022"),'AES Indiana Sep 23 Bill Calc.'!$D$21)</f>
        <v>0</v>
      </c>
      <c r="F675" s="37" t="s">
        <v>187</v>
      </c>
      <c r="G675" s="165" t="e">
        <f>MAX(I675,P674)</f>
        <v>#N/A</v>
      </c>
      <c r="H675" s="19" t="e">
        <f>IF(ISBLANK(B675),0,+#REF!/B675)</f>
        <v>#REF!</v>
      </c>
      <c r="I675" s="140">
        <f>(E675*120*$K$608)+$J$608</f>
        <v>1231.26</v>
      </c>
      <c r="J675" s="53">
        <f>IF(ISBLANK(B675),0,+J$608)</f>
        <v>1231.26</v>
      </c>
      <c r="K675" s="16">
        <f>IF($B675&gt;K674,ROUND(K674*K$608,2),ROUND($B675*K$608,2))</f>
        <v>-0.08</v>
      </c>
      <c r="L675" s="17">
        <f>IF($B675&gt;K674,ROUND((B675-K674)*L$608,2),0)</f>
        <v>0</v>
      </c>
      <c r="M675" s="17">
        <f>IF($C675&gt;L$518,ROUND(($C675-L$518)*M$517,2),0)</f>
        <v>0</v>
      </c>
      <c r="N675" s="17">
        <f>SUM(K675:L675)</f>
        <v>-0.08</v>
      </c>
      <c r="O675" s="17"/>
      <c r="P675" s="12"/>
      <c r="Q675" s="17">
        <f t="shared" si="42"/>
        <v>0</v>
      </c>
      <c r="R675" s="16" t="e">
        <f>ROUND(SUM(K675:M675)*(R674-1),2)</f>
        <v>#N/A</v>
      </c>
      <c r="S675" s="17">
        <f>ROUND($B675*S$608*S674,2)</f>
        <v>0</v>
      </c>
      <c r="T675" s="17">
        <f>ROUND($B675*T$608,2)</f>
        <v>0</v>
      </c>
      <c r="U675" s="17">
        <f>ROUND($B675*U$608,2)</f>
        <v>0</v>
      </c>
      <c r="V675" s="17">
        <f>ROUND($B675*V$606,2)</f>
        <v>0</v>
      </c>
      <c r="W675" s="17">
        <f>ROUND($B675*W$608,2)</f>
        <v>0</v>
      </c>
      <c r="X675" s="17">
        <f>ROUND($B675*X$608,2)</f>
        <v>0</v>
      </c>
      <c r="Y675" s="17">
        <f>ROUND($B675*Y$608,2)</f>
        <v>0</v>
      </c>
      <c r="Z675" s="17">
        <f>ROUND($B675*Z$608,2)</f>
        <v>0</v>
      </c>
      <c r="AA675" s="17">
        <f>ROUND($B675*AA$608,2)</f>
        <v>0</v>
      </c>
      <c r="AB675" s="19">
        <f>SUM(U670:AA670)</f>
        <v>0</v>
      </c>
      <c r="AC675" s="78" t="str">
        <f>+F675</f>
        <v>PH2</v>
      </c>
    </row>
    <row r="676" spans="1:29" ht="13" x14ac:dyDescent="0.3">
      <c r="A676" s="9"/>
      <c r="B676" s="111">
        <v>-1</v>
      </c>
      <c r="D676" s="8"/>
      <c r="E676" s="9"/>
      <c r="F676" s="37"/>
      <c r="H676" s="12"/>
      <c r="I676" s="19"/>
      <c r="J676" s="12"/>
      <c r="K676" s="44">
        <f>ROUND(C677*K$609,0)</f>
        <v>25000</v>
      </c>
      <c r="L676" s="36">
        <f>+B677-K676</f>
        <v>-25001</v>
      </c>
      <c r="M676" s="12"/>
      <c r="N676" s="12"/>
      <c r="O676" s="12"/>
      <c r="P676" s="17" t="e">
        <f>SUM(J677:M677,R677:AA677)</f>
        <v>#N/A</v>
      </c>
      <c r="Q676" s="17">
        <f t="shared" si="42"/>
        <v>0</v>
      </c>
      <c r="R676" s="39" t="e">
        <f>VLOOKUP((D677),'Pwr Factor'!$A$1:$B$52,2)</f>
        <v>#N/A</v>
      </c>
      <c r="S676" s="51">
        <v>0.25</v>
      </c>
      <c r="T676" s="12"/>
      <c r="U676" s="12"/>
      <c r="V676" s="12"/>
      <c r="W676" s="12"/>
      <c r="X676" s="12"/>
      <c r="Y676" s="12"/>
      <c r="Z676" s="12"/>
      <c r="AA676" s="12"/>
    </row>
    <row r="677" spans="1:29" ht="13" x14ac:dyDescent="0.3">
      <c r="A677" s="57" t="s">
        <v>158</v>
      </c>
      <c r="B677" s="111">
        <f>IF(AND('AES Indiana Sep 23 Bill Calc.'!$D$17="PH",'AES Indiana Sep 23 Bill Calc.'!$D$18="Yes 25%",'AES Indiana Sep 23 Bill Calc.'!$D$20="Yes 2022"),'AES Indiana Sep 23 Bill Calc.'!$D$19,-1)</f>
        <v>-1</v>
      </c>
      <c r="C677" s="111">
        <f>MAX(E677,$C$609)</f>
        <v>100</v>
      </c>
      <c r="D677" s="111" t="b">
        <f>IF(AND('AES Indiana Sep 23 Bill Calc.'!$D$17="PH",'AES Indiana Sep 23 Bill Calc.'!$D$18="Yes 25%",'AES Indiana Sep 23 Bill Calc.'!$D$20="Yes 2022"),'AES Indiana Sep 23 Bill Calc.'!$D$22)</f>
        <v>0</v>
      </c>
      <c r="E677" s="111" t="b">
        <f>IF(AND('AES Indiana Sep 23 Bill Calc.'!$D$17="PH",'AES Indiana Sep 23 Bill Calc.'!$D$18="Yes 25%",'AES Indiana Sep 23 Bill Calc.'!$D$20="Yes 2022"),'AES Indiana Sep 23 Bill Calc.'!$D$21)</f>
        <v>0</v>
      </c>
      <c r="F677" s="37" t="s">
        <v>187</v>
      </c>
      <c r="G677" s="165" t="e">
        <f>MAX(I677,P676)</f>
        <v>#N/A</v>
      </c>
      <c r="H677" s="19" t="e">
        <f>IF(ISBLANK(B677),0,+#REF!/B677)</f>
        <v>#REF!</v>
      </c>
      <c r="I677" s="140">
        <f>(E677*120*$K$608)+$J$608</f>
        <v>1231.26</v>
      </c>
      <c r="J677" s="53">
        <f>IF(ISBLANK(B677),0,+J$608)</f>
        <v>1231.26</v>
      </c>
      <c r="K677" s="16">
        <f>IF($B677&gt;K676,ROUND(K676*K$608,2),ROUND($B677*K$608,2))</f>
        <v>-0.08</v>
      </c>
      <c r="L677" s="17">
        <f>IF($B677&gt;K676,ROUND((B677-K676)*L$608,2),0)</f>
        <v>0</v>
      </c>
      <c r="M677" s="17">
        <f>IF($C677&gt;L$518,ROUND(($C677-L$518)*M$517,2),0)</f>
        <v>0</v>
      </c>
      <c r="N677" s="17">
        <f>SUM(K677:L677)</f>
        <v>-0.08</v>
      </c>
      <c r="O677" s="17"/>
      <c r="P677" s="12"/>
      <c r="Q677" s="17">
        <f t="shared" si="42"/>
        <v>0</v>
      </c>
      <c r="R677" s="16" t="e">
        <f>ROUND(SUM(K677:M677)*(R676-1),2)</f>
        <v>#N/A</v>
      </c>
      <c r="S677" s="17">
        <f>ROUND($B677*S$608*S676,2)</f>
        <v>0</v>
      </c>
      <c r="T677" s="17">
        <f>ROUND($B677*T$608,2)</f>
        <v>0</v>
      </c>
      <c r="U677" s="17">
        <f>ROUND($B677*U$608,2)</f>
        <v>0</v>
      </c>
      <c r="V677" s="17">
        <f>ROUND($B677*V$606,2)</f>
        <v>0</v>
      </c>
      <c r="W677" s="17">
        <f>ROUND($B677*W$608,2)</f>
        <v>0</v>
      </c>
      <c r="X677" s="17">
        <f>ROUND($B677*X$608,2)</f>
        <v>0</v>
      </c>
      <c r="Y677" s="17">
        <f>ROUND($B677*Y$608,2)</f>
        <v>0</v>
      </c>
      <c r="Z677" s="17">
        <f>ROUND($B677*Z$608,2)</f>
        <v>0</v>
      </c>
      <c r="AA677" s="17">
        <f>ROUND($B677*AA$608,2)</f>
        <v>0</v>
      </c>
      <c r="AB677" s="19">
        <f>SUM(U672:AA672)</f>
        <v>0</v>
      </c>
      <c r="AC677" s="78" t="str">
        <f>+F677</f>
        <v>PH2</v>
      </c>
    </row>
    <row r="678" spans="1:29" ht="13" x14ac:dyDescent="0.3">
      <c r="A678" s="9"/>
      <c r="B678" s="111">
        <v>-1</v>
      </c>
      <c r="D678" s="8"/>
      <c r="E678" s="9"/>
      <c r="F678" s="37"/>
      <c r="H678" s="12"/>
      <c r="I678" s="19"/>
      <c r="J678" s="12"/>
      <c r="K678" s="44">
        <f>ROUND(C679*K$609,0)</f>
        <v>25000</v>
      </c>
      <c r="L678" s="36">
        <f>+B679-K678</f>
        <v>-25001</v>
      </c>
      <c r="M678" s="12"/>
      <c r="N678" s="12"/>
      <c r="O678" s="12"/>
      <c r="P678" s="17" t="e">
        <f>SUM(J679:M679,R679:AA679)</f>
        <v>#N/A</v>
      </c>
      <c r="Q678" s="17">
        <f>M678</f>
        <v>0</v>
      </c>
      <c r="R678" s="39" t="e">
        <f>VLOOKUP((D679),'Pwr Factor'!$A$1:$B$52,2)</f>
        <v>#N/A</v>
      </c>
      <c r="S678" s="51">
        <v>0.1</v>
      </c>
      <c r="T678" s="12"/>
      <c r="U678" s="12"/>
      <c r="V678" s="12"/>
      <c r="W678" s="12"/>
      <c r="X678" s="12"/>
      <c r="Y678" s="12"/>
      <c r="Z678" s="12"/>
      <c r="AA678" s="12"/>
    </row>
    <row r="679" spans="1:29" ht="13" x14ac:dyDescent="0.3">
      <c r="A679" s="57" t="s">
        <v>173</v>
      </c>
      <c r="B679" s="111">
        <f>IF(AND('AES Indiana Sep 23 Bill Calc.'!$D$17="PH",'AES Indiana Sep 23 Bill Calc.'!$D$18="Yes 10%",'AES Indiana Sep 23 Bill Calc.'!$D$20="Yes 2022"),'AES Indiana Sep 23 Bill Calc.'!$D$19,-1)</f>
        <v>-1</v>
      </c>
      <c r="C679" s="111">
        <f>MAX(E679,$C$609)</f>
        <v>100</v>
      </c>
      <c r="D679" s="111" t="b">
        <f>IF(AND('AES Indiana Sep 23 Bill Calc.'!$D$17="PH",'AES Indiana Sep 23 Bill Calc.'!$D$18="Yes 10%",'AES Indiana Sep 23 Bill Calc.'!$D$20="Yes 2022"),'AES Indiana Sep 23 Bill Calc.'!$D$22)</f>
        <v>0</v>
      </c>
      <c r="E679" s="111" t="b">
        <f>IF(AND('AES Indiana Sep 23 Bill Calc.'!$D$17="PH",'AES Indiana Sep 23 Bill Calc.'!$D$18="Yes 10%",'AES Indiana Sep 23 Bill Calc.'!$D$20="Yes 2022"),'AES Indiana Sep 23 Bill Calc.'!$D$21)</f>
        <v>0</v>
      </c>
      <c r="F679" s="37" t="s">
        <v>187</v>
      </c>
      <c r="G679" s="165" t="e">
        <f>MAX(I679,P678)</f>
        <v>#N/A</v>
      </c>
      <c r="H679" s="19" t="e">
        <f>IF(ISBLANK(B679),0,+#REF!/B679)</f>
        <v>#REF!</v>
      </c>
      <c r="I679" s="140">
        <f>(E679*120*$K$608)+$J$608</f>
        <v>1231.26</v>
      </c>
      <c r="J679" s="53">
        <f>IF(ISBLANK(B679),0,+J$608)</f>
        <v>1231.26</v>
      </c>
      <c r="K679" s="16">
        <f>IF($B679&gt;K678,ROUND(K678*K$608,2),ROUND($B679*K$608,2))</f>
        <v>-0.08</v>
      </c>
      <c r="L679" s="17">
        <f>IF($B679&gt;K678,ROUND((B679-K678)*L$608,2),0)</f>
        <v>0</v>
      </c>
      <c r="M679" s="17">
        <f>IF($C679&gt;L$518,ROUND(($C679-L$518)*M$517,2),0)</f>
        <v>0</v>
      </c>
      <c r="N679" s="17">
        <f>SUM(K679:L679)</f>
        <v>-0.08</v>
      </c>
      <c r="O679" s="17"/>
      <c r="P679" s="12"/>
      <c r="Q679" s="17">
        <f>M679</f>
        <v>0</v>
      </c>
      <c r="R679" s="16" t="e">
        <f>ROUND(SUM(K679:M679)*(R678-1),2)</f>
        <v>#N/A</v>
      </c>
      <c r="S679" s="17">
        <f>ROUND($B679*S$608*S678,2)</f>
        <v>0</v>
      </c>
      <c r="T679" s="17">
        <f>ROUND($B679*T$608,2)</f>
        <v>0</v>
      </c>
      <c r="U679" s="17">
        <f>ROUND($B679*U$608,2)</f>
        <v>0</v>
      </c>
      <c r="V679" s="17">
        <f>ROUND($B679*V$606,2)</f>
        <v>0</v>
      </c>
      <c r="W679" s="17">
        <f>ROUND($B679*W$608,2)</f>
        <v>0</v>
      </c>
      <c r="X679" s="17">
        <f>ROUND($B679*X$608,2)</f>
        <v>0</v>
      </c>
      <c r="Y679" s="17">
        <f>ROUND($B679*Y$608,2)</f>
        <v>0</v>
      </c>
      <c r="Z679" s="17">
        <f>ROUND($B679*Z$608,2)</f>
        <v>0</v>
      </c>
      <c r="AA679" s="17">
        <f>ROUND($B679*AA$608,2)</f>
        <v>0</v>
      </c>
      <c r="AB679" s="19">
        <f>SUM(U674:AA674)</f>
        <v>0</v>
      </c>
      <c r="AC679" s="78" t="str">
        <f>+F679</f>
        <v>PH2</v>
      </c>
    </row>
    <row r="680" spans="1:29" ht="13" x14ac:dyDescent="0.3">
      <c r="A680" s="9"/>
      <c r="B680" s="111">
        <v>-1</v>
      </c>
      <c r="D680" s="8"/>
      <c r="E680" s="9"/>
      <c r="F680" s="37"/>
      <c r="H680" s="12"/>
      <c r="I680" s="19"/>
      <c r="J680" s="12"/>
      <c r="K680" s="44">
        <f>ROUND(C681*K$609,0)</f>
        <v>25000</v>
      </c>
      <c r="L680" s="36">
        <f>+B681-K680</f>
        <v>-25001</v>
      </c>
      <c r="M680" s="12"/>
      <c r="N680" s="12"/>
      <c r="O680" s="12"/>
      <c r="P680" s="17" t="e">
        <f>SUM(J681:M681,R681:AA681)</f>
        <v>#N/A</v>
      </c>
      <c r="Q680" s="17">
        <f>M680</f>
        <v>0</v>
      </c>
      <c r="R680" s="39" t="e">
        <f>VLOOKUP((D681),'Pwr Factor'!$A$1:$B$52,2)</f>
        <v>#N/A</v>
      </c>
      <c r="S680" s="51">
        <v>0</v>
      </c>
      <c r="T680" s="12"/>
      <c r="U680" s="12"/>
      <c r="V680" s="12"/>
      <c r="W680" s="12"/>
      <c r="X680" s="12"/>
      <c r="Y680" s="12"/>
      <c r="Z680" s="12"/>
      <c r="AA680" s="12"/>
    </row>
    <row r="681" spans="1:29" ht="13" x14ac:dyDescent="0.3">
      <c r="A681" s="57" t="s">
        <v>172</v>
      </c>
      <c r="B681" s="111">
        <f>IF(AND('AES Indiana Sep 23 Bill Calc.'!$D$17="PH",'AES Indiana Sep 23 Bill Calc.'!$D$18="No",'AES Indiana Sep 23 Bill Calc.'!$D$20="Yes 2022"),'AES Indiana Sep 23 Bill Calc.'!$D$19,-1)</f>
        <v>-1</v>
      </c>
      <c r="C681" s="111">
        <f>MAX(E681,$C$609)</f>
        <v>100</v>
      </c>
      <c r="D681" s="111" t="b">
        <f>IF(AND('AES Indiana Sep 23 Bill Calc.'!$D$17="PH",'AES Indiana Sep 23 Bill Calc.'!$D$18="No",'AES Indiana Sep 23 Bill Calc.'!$D$20="Yes 2022"),'AES Indiana Sep 23 Bill Calc.'!$D$22)</f>
        <v>0</v>
      </c>
      <c r="E681" s="111" t="b">
        <f>IF(AND('AES Indiana Sep 23 Bill Calc.'!$D$17="PH",'AES Indiana Sep 23 Bill Calc.'!$D$18="No",'AES Indiana Sep 23 Bill Calc.'!$D$20="Yes 2022"),'AES Indiana Sep 23 Bill Calc.'!$D$21)</f>
        <v>0</v>
      </c>
      <c r="F681" s="37" t="s">
        <v>187</v>
      </c>
      <c r="G681" s="165" t="e">
        <f>MAX(I681,P680)</f>
        <v>#N/A</v>
      </c>
      <c r="H681" s="19" t="e">
        <f>IF(ISBLANK(B681),0,+#REF!/B681)</f>
        <v>#REF!</v>
      </c>
      <c r="I681" s="140">
        <f>(E681*120*$K$608)+$J$608</f>
        <v>1231.26</v>
      </c>
      <c r="J681" s="53">
        <f>IF(ISBLANK(B681),0,+J$608)</f>
        <v>1231.26</v>
      </c>
      <c r="K681" s="16">
        <f>IF($B681&gt;K680,ROUND(K680*K$608,2),ROUND($B681*K$608,2))</f>
        <v>-0.08</v>
      </c>
      <c r="L681" s="17">
        <f>IF($B681&gt;K680,ROUND((B681-K680)*L$608,2),0)</f>
        <v>0</v>
      </c>
      <c r="M681" s="17">
        <f>IF($C681&gt;L$518,ROUND(($C681-L$518)*M$517,2),0)</f>
        <v>0</v>
      </c>
      <c r="N681" s="17">
        <f>SUM(K681:L681)</f>
        <v>-0.08</v>
      </c>
      <c r="O681" s="17"/>
      <c r="P681" s="17"/>
      <c r="Q681" s="17">
        <f>M681</f>
        <v>0</v>
      </c>
      <c r="R681" s="16" t="e">
        <f>ROUND(SUM(K681:M681)*(R680-1),2)</f>
        <v>#N/A</v>
      </c>
      <c r="S681" s="17">
        <f>ROUND($B681*S$608*S680,2)</f>
        <v>0</v>
      </c>
      <c r="T681" s="17">
        <f>ROUND($B681*T$608,2)</f>
        <v>0</v>
      </c>
      <c r="U681" s="17">
        <f>ROUND($B681*U$608,2)</f>
        <v>0</v>
      </c>
      <c r="V681" s="17">
        <f>ROUND($B681*V$606,2)</f>
        <v>0</v>
      </c>
      <c r="W681" s="17">
        <f>ROUND($B681*W$608,2)</f>
        <v>0</v>
      </c>
      <c r="X681" s="17">
        <f>ROUND($B681*X$608,2)</f>
        <v>0</v>
      </c>
      <c r="Y681" s="17">
        <f>ROUND($B681*Y$608,2)</f>
        <v>0</v>
      </c>
      <c r="Z681" s="17">
        <f>ROUND($B681*Z$608,2)</f>
        <v>0</v>
      </c>
      <c r="AA681" s="17">
        <f>ROUND($B681*AA$608,2)</f>
        <v>0</v>
      </c>
      <c r="AB681" s="19">
        <f>SUM(U676:AA676)</f>
        <v>0</v>
      </c>
      <c r="AC681" s="78" t="str">
        <f>+F681</f>
        <v>PH2</v>
      </c>
    </row>
    <row r="682" spans="1:29" ht="13" x14ac:dyDescent="0.3">
      <c r="A682" s="9"/>
      <c r="B682" s="111">
        <v>-1</v>
      </c>
      <c r="D682" s="8"/>
      <c r="E682" s="9"/>
      <c r="F682" s="37"/>
      <c r="H682" s="12"/>
      <c r="I682" s="19"/>
      <c r="J682" s="12"/>
      <c r="K682" s="44">
        <f>ROUND(C683*K$609,0)</f>
        <v>25000</v>
      </c>
      <c r="L682" s="36">
        <f>+B683-K682</f>
        <v>-25001</v>
      </c>
      <c r="M682" s="12"/>
      <c r="N682" s="12"/>
      <c r="O682" s="12"/>
      <c r="P682" s="17" t="e">
        <f>SUM(J683:M683,R683:AA683)</f>
        <v>#N/A</v>
      </c>
      <c r="Q682" s="17">
        <f t="shared" ref="Q682:Q687" si="47">M682</f>
        <v>0</v>
      </c>
      <c r="R682" s="39" t="e">
        <f>VLOOKUP((D683),'Pwr Factor'!$A$1:$B$52,2)</f>
        <v>#N/A</v>
      </c>
      <c r="S682" s="51">
        <v>1</v>
      </c>
      <c r="T682" s="12"/>
      <c r="U682" s="12"/>
      <c r="V682" s="12"/>
      <c r="W682" s="12"/>
      <c r="X682" s="12"/>
      <c r="Y682" s="12"/>
      <c r="Z682" s="12"/>
      <c r="AA682" s="12"/>
    </row>
    <row r="683" spans="1:29" ht="13" x14ac:dyDescent="0.3">
      <c r="A683" s="1" t="s">
        <v>73</v>
      </c>
      <c r="B683" s="111">
        <f>IF(AND('AES Indiana Sep 23 Bill Calc.'!$D$17="PH",'AES Indiana Sep 23 Bill Calc.'!$D$18="Yes 100%",'AES Indiana Sep 23 Bill Calc.'!$D$20="Yes 2023"),'AES Indiana Sep 23 Bill Calc.'!$D$19,-1)</f>
        <v>-1</v>
      </c>
      <c r="C683" s="111">
        <f>MAX(E683,$C$609)</f>
        <v>100</v>
      </c>
      <c r="D683" s="111" t="b">
        <f>IF(AND('AES Indiana Sep 23 Bill Calc.'!$D$17="PH",'AES Indiana Sep 23 Bill Calc.'!$D$18="Yes 100%",'AES Indiana Sep 23 Bill Calc.'!$D$20="Yes 2022"),'AES Indiana Sep 23 Bill Calc.'!$D$22)</f>
        <v>0</v>
      </c>
      <c r="E683" s="111" t="b">
        <f>IF(AND('AES Indiana Sep 23 Bill Calc.'!$D$17="PH",'AES Indiana Sep 23 Bill Calc.'!$D$18="Yes 100%",'AES Indiana Sep 23 Bill Calc.'!$D$20="Yes 2022"),'AES Indiana Sep 23 Bill Calc.'!$D$21)</f>
        <v>0</v>
      </c>
      <c r="F683" s="37" t="s">
        <v>299</v>
      </c>
      <c r="G683" s="165" t="e">
        <f>MAX(I683,P682)</f>
        <v>#N/A</v>
      </c>
      <c r="H683" s="19" t="e">
        <f>IF(ISBLANK(B683),0,+#REF!/B683)</f>
        <v>#REF!</v>
      </c>
      <c r="I683" s="140">
        <f>(E683*120*$K$608)+$J$608</f>
        <v>1231.26</v>
      </c>
      <c r="J683" s="53">
        <f>IF(ISBLANK(B683),0,+J$608)</f>
        <v>1231.26</v>
      </c>
      <c r="K683" s="16">
        <f>IF($B683&gt;K682,ROUND(K682*K$608,2),ROUND($B683*K$608,2))</f>
        <v>-0.08</v>
      </c>
      <c r="L683" s="17">
        <f>IF($B683&gt;K682,ROUND((B683-K682)*L$608,2),0)</f>
        <v>0</v>
      </c>
      <c r="M683" s="17">
        <f>IF($C683&gt;L$518,ROUND(($C683-L$518)*M$517,2),0)</f>
        <v>0</v>
      </c>
      <c r="N683" s="17">
        <f>SUM(K683:L683)</f>
        <v>-0.08</v>
      </c>
      <c r="O683" s="17"/>
      <c r="P683" s="12"/>
      <c r="Q683" s="17">
        <f t="shared" si="47"/>
        <v>0</v>
      </c>
      <c r="R683" s="16" t="e">
        <f>ROUND(SUM(K683:M683)*(R682-1),2)</f>
        <v>#N/A</v>
      </c>
      <c r="S683" s="17">
        <f>ROUND($B683*S$608*S682,2)</f>
        <v>0</v>
      </c>
      <c r="T683" s="17">
        <f>ROUND($B683*T$608,2)</f>
        <v>0</v>
      </c>
      <c r="U683" s="17">
        <f>ROUND($B683*U$608,2)</f>
        <v>0</v>
      </c>
      <c r="V683" s="17">
        <f>ROUND($B683*V$607,2)</f>
        <v>0</v>
      </c>
      <c r="W683" s="17">
        <f>ROUND($B683*W$608,2)</f>
        <v>0</v>
      </c>
      <c r="X683" s="17">
        <f>ROUND($B683*X$608,2)</f>
        <v>0</v>
      </c>
      <c r="Y683" s="17">
        <f>ROUND($B683*Y$608,2)</f>
        <v>0</v>
      </c>
      <c r="Z683" s="17">
        <f>ROUND($B683*Z$608,2)</f>
        <v>0</v>
      </c>
      <c r="AA683" s="17">
        <f>ROUND($B683*AA$608,2)</f>
        <v>0</v>
      </c>
      <c r="AB683" s="19">
        <f>SUM(U678:AA678)</f>
        <v>0</v>
      </c>
      <c r="AC683" s="78" t="str">
        <f>+F683</f>
        <v>PH3</v>
      </c>
    </row>
    <row r="684" spans="1:29" ht="13" x14ac:dyDescent="0.3">
      <c r="A684" s="9"/>
      <c r="B684" s="111">
        <v>-1</v>
      </c>
      <c r="D684" s="8"/>
      <c r="E684" s="9"/>
      <c r="F684" s="37"/>
      <c r="H684" s="12"/>
      <c r="I684" s="19"/>
      <c r="J684" s="12"/>
      <c r="K684" s="44">
        <f>ROUND(C685*K$609,0)</f>
        <v>25000</v>
      </c>
      <c r="L684" s="36">
        <f>+B685-K684</f>
        <v>-25001</v>
      </c>
      <c r="M684" s="12"/>
      <c r="N684" s="12"/>
      <c r="O684" s="12"/>
      <c r="P684" s="17" t="e">
        <f>SUM(J685:M685,R685:AA685)</f>
        <v>#N/A</v>
      </c>
      <c r="Q684" s="17">
        <f t="shared" si="47"/>
        <v>0</v>
      </c>
      <c r="R684" s="39" t="e">
        <f>VLOOKUP((D685),'Pwr Factor'!$A$1:$B$52,2)</f>
        <v>#N/A</v>
      </c>
      <c r="S684" s="51">
        <v>0.5</v>
      </c>
      <c r="T684" s="12"/>
      <c r="U684" s="12"/>
      <c r="V684" s="12"/>
      <c r="W684" s="12"/>
      <c r="X684" s="12"/>
      <c r="Y684" s="12"/>
      <c r="Z684" s="12"/>
      <c r="AA684" s="12"/>
    </row>
    <row r="685" spans="1:29" ht="13" x14ac:dyDescent="0.3">
      <c r="A685" s="57" t="s">
        <v>171</v>
      </c>
      <c r="B685" s="111">
        <f>IF(AND('AES Indiana Sep 23 Bill Calc.'!$D$17="PH",'AES Indiana Sep 23 Bill Calc.'!$D$18="Yes 50%",'AES Indiana Sep 23 Bill Calc.'!$D$20="Yes 2023"),'AES Indiana Sep 23 Bill Calc.'!$D$19,-1)</f>
        <v>-1</v>
      </c>
      <c r="C685" s="111">
        <f>MAX(E685,$C$609)</f>
        <v>100</v>
      </c>
      <c r="D685" s="111" t="b">
        <f>IF(AND('AES Indiana Sep 23 Bill Calc.'!$D$17="PH",'AES Indiana Sep 23 Bill Calc.'!$D$18="Yes 50%",'AES Indiana Sep 23 Bill Calc.'!$D$20="Yes 2022"),'AES Indiana Sep 23 Bill Calc.'!$D$22)</f>
        <v>0</v>
      </c>
      <c r="E685" s="111" t="b">
        <f>IF(AND('AES Indiana Sep 23 Bill Calc.'!$D$17="PH",'AES Indiana Sep 23 Bill Calc.'!$D$18="Yes 50%",'AES Indiana Sep 23 Bill Calc.'!$D$20="Yes 2022"),'AES Indiana Sep 23 Bill Calc.'!$D$21)</f>
        <v>0</v>
      </c>
      <c r="F685" s="37" t="s">
        <v>299</v>
      </c>
      <c r="G685" s="165" t="e">
        <f>MAX(I685,P684)</f>
        <v>#N/A</v>
      </c>
      <c r="H685" s="19" t="e">
        <f>IF(ISBLANK(B685),0,+#REF!/B685)</f>
        <v>#REF!</v>
      </c>
      <c r="I685" s="140">
        <f>(E685*120*$K$608)+$J$608</f>
        <v>1231.26</v>
      </c>
      <c r="J685" s="53">
        <f>IF(ISBLANK(B685),0,+J$608)</f>
        <v>1231.26</v>
      </c>
      <c r="K685" s="16">
        <f>IF($B685&gt;K684,ROUND(K684*K$608,2),ROUND($B685*K$608,2))</f>
        <v>-0.08</v>
      </c>
      <c r="L685" s="17">
        <f>IF($B685&gt;K684,ROUND((B685-K684)*L$608,2),0)</f>
        <v>0</v>
      </c>
      <c r="M685" s="17">
        <f>IF($C685&gt;L$518,ROUND(($C685-L$518)*M$517,2),0)</f>
        <v>0</v>
      </c>
      <c r="N685" s="17">
        <f>SUM(K685:L685)</f>
        <v>-0.08</v>
      </c>
      <c r="O685" s="17"/>
      <c r="P685" s="12"/>
      <c r="Q685" s="17">
        <f t="shared" si="47"/>
        <v>0</v>
      </c>
      <c r="R685" s="16" t="e">
        <f>ROUND(SUM(K685:M685)*(R684-1),2)</f>
        <v>#N/A</v>
      </c>
      <c r="S685" s="17">
        <f>ROUND($B685*S$608*S684,2)</f>
        <v>0</v>
      </c>
      <c r="T685" s="17">
        <f>ROUND($B685*T$608,2)</f>
        <v>0</v>
      </c>
      <c r="U685" s="17">
        <f>ROUND($B685*U$608,2)</f>
        <v>0</v>
      </c>
      <c r="V685" s="17">
        <f>ROUND($B685*V$607,2)</f>
        <v>0</v>
      </c>
      <c r="W685" s="17">
        <f>ROUND($B685*W$608,2)</f>
        <v>0</v>
      </c>
      <c r="X685" s="17">
        <f>ROUND($B685*X$608,2)</f>
        <v>0</v>
      </c>
      <c r="Y685" s="17">
        <f>ROUND($B685*Y$608,2)</f>
        <v>0</v>
      </c>
      <c r="Z685" s="17">
        <f>ROUND($B685*Z$608,2)</f>
        <v>0</v>
      </c>
      <c r="AA685" s="17">
        <f>ROUND($B685*AA$608,2)</f>
        <v>0</v>
      </c>
      <c r="AB685" s="19">
        <f>SUM(U680:AA680)</f>
        <v>0</v>
      </c>
      <c r="AC685" s="78" t="str">
        <f>+F685</f>
        <v>PH3</v>
      </c>
    </row>
    <row r="686" spans="1:29" ht="13" x14ac:dyDescent="0.3">
      <c r="A686" s="9"/>
      <c r="B686" s="111">
        <v>-1</v>
      </c>
      <c r="D686" s="8"/>
      <c r="E686" s="9"/>
      <c r="F686" s="37"/>
      <c r="H686" s="12"/>
      <c r="I686" s="19"/>
      <c r="J686" s="12"/>
      <c r="K686" s="44">
        <f>ROUND(C687*K$609,0)</f>
        <v>25000</v>
      </c>
      <c r="L686" s="36">
        <f>+B687-K686</f>
        <v>-25001</v>
      </c>
      <c r="M686" s="12"/>
      <c r="N686" s="12"/>
      <c r="O686" s="12"/>
      <c r="P686" s="17" t="e">
        <f>SUM(J687:M687,R687:AA687)</f>
        <v>#N/A</v>
      </c>
      <c r="Q686" s="17">
        <f t="shared" si="47"/>
        <v>0</v>
      </c>
      <c r="R686" s="39" t="e">
        <f>VLOOKUP((D687),'Pwr Factor'!$A$1:$B$52,2)</f>
        <v>#N/A</v>
      </c>
      <c r="S686" s="51">
        <v>0.25</v>
      </c>
      <c r="T686" s="12"/>
      <c r="U686" s="12"/>
      <c r="V686" s="12"/>
      <c r="W686" s="12"/>
      <c r="X686" s="12"/>
      <c r="Y686" s="12"/>
      <c r="Z686" s="12"/>
      <c r="AA686" s="12"/>
    </row>
    <row r="687" spans="1:29" ht="13" x14ac:dyDescent="0.3">
      <c r="A687" s="57" t="s">
        <v>158</v>
      </c>
      <c r="B687" s="111">
        <f>IF(AND('AES Indiana Sep 23 Bill Calc.'!$D$17="PH",'AES Indiana Sep 23 Bill Calc.'!$D$18="Yes 25%",'AES Indiana Sep 23 Bill Calc.'!$D$20="Yes 2023"),'AES Indiana Sep 23 Bill Calc.'!$D$19,-1)</f>
        <v>-1</v>
      </c>
      <c r="C687" s="111">
        <f>MAX(E687,$C$609)</f>
        <v>100</v>
      </c>
      <c r="D687" s="111" t="b">
        <f>IF(AND('AES Indiana Sep 23 Bill Calc.'!$D$17="PH",'AES Indiana Sep 23 Bill Calc.'!$D$18="Yes 25%",'AES Indiana Sep 23 Bill Calc.'!$D$20="Yes 2022"),'AES Indiana Sep 23 Bill Calc.'!$D$22)</f>
        <v>0</v>
      </c>
      <c r="E687" s="111" t="b">
        <f>IF(AND('AES Indiana Sep 23 Bill Calc.'!$D$17="PH",'AES Indiana Sep 23 Bill Calc.'!$D$18="Yes 25%",'AES Indiana Sep 23 Bill Calc.'!$D$20="Yes 2022"),'AES Indiana Sep 23 Bill Calc.'!$D$21)</f>
        <v>0</v>
      </c>
      <c r="F687" s="37" t="s">
        <v>299</v>
      </c>
      <c r="G687" s="165" t="e">
        <f>MAX(I687,P686)</f>
        <v>#N/A</v>
      </c>
      <c r="H687" s="19" t="e">
        <f>IF(ISBLANK(B687),0,+#REF!/B687)</f>
        <v>#REF!</v>
      </c>
      <c r="I687" s="140">
        <f>(E687*120*$K$608)+$J$608</f>
        <v>1231.26</v>
      </c>
      <c r="J687" s="53">
        <f>IF(ISBLANK(B687),0,+J$608)</f>
        <v>1231.26</v>
      </c>
      <c r="K687" s="16">
        <f>IF($B687&gt;K686,ROUND(K686*K$608,2),ROUND($B687*K$608,2))</f>
        <v>-0.08</v>
      </c>
      <c r="L687" s="17">
        <f>IF($B687&gt;K686,ROUND((B687-K686)*L$608,2),0)</f>
        <v>0</v>
      </c>
      <c r="M687" s="17">
        <f>IF($C687&gt;L$518,ROUND(($C687-L$518)*M$517,2),0)</f>
        <v>0</v>
      </c>
      <c r="N687" s="17">
        <f>SUM(K687:L687)</f>
        <v>-0.08</v>
      </c>
      <c r="O687" s="17"/>
      <c r="P687" s="12"/>
      <c r="Q687" s="17">
        <f t="shared" si="47"/>
        <v>0</v>
      </c>
      <c r="R687" s="16" t="e">
        <f>ROUND(SUM(K687:M687)*(R686-1),2)</f>
        <v>#N/A</v>
      </c>
      <c r="S687" s="17">
        <f>ROUND($B687*S$608*S686,2)</f>
        <v>0</v>
      </c>
      <c r="T687" s="17">
        <f>ROUND($B687*T$608,2)</f>
        <v>0</v>
      </c>
      <c r="U687" s="17">
        <f>ROUND($B687*U$608,2)</f>
        <v>0</v>
      </c>
      <c r="V687" s="17">
        <f>ROUND($B687*V$607,2)</f>
        <v>0</v>
      </c>
      <c r="W687" s="17">
        <f>ROUND($B687*W$608,2)</f>
        <v>0</v>
      </c>
      <c r="X687" s="17">
        <f>ROUND($B687*X$608,2)</f>
        <v>0</v>
      </c>
      <c r="Y687" s="17">
        <f>ROUND($B687*Y$608,2)</f>
        <v>0</v>
      </c>
      <c r="Z687" s="17">
        <f>ROUND($B687*Z$608,2)</f>
        <v>0</v>
      </c>
      <c r="AA687" s="17">
        <f>ROUND($B687*AA$608,2)</f>
        <v>0</v>
      </c>
      <c r="AB687" s="19">
        <f>SUM(U682:AA682)</f>
        <v>0</v>
      </c>
      <c r="AC687" s="78" t="str">
        <f>+F687</f>
        <v>PH3</v>
      </c>
    </row>
    <row r="688" spans="1:29" ht="13" x14ac:dyDescent="0.3">
      <c r="A688" s="9"/>
      <c r="B688" s="111">
        <v>-1</v>
      </c>
      <c r="D688" s="8"/>
      <c r="E688" s="9"/>
      <c r="F688" s="37"/>
      <c r="H688" s="12"/>
      <c r="I688" s="19"/>
      <c r="J688" s="12"/>
      <c r="K688" s="44">
        <f>ROUND(C689*K$609,0)</f>
        <v>25000</v>
      </c>
      <c r="L688" s="36">
        <f>+B689-K688</f>
        <v>-25001</v>
      </c>
      <c r="M688" s="12"/>
      <c r="N688" s="12"/>
      <c r="O688" s="12"/>
      <c r="P688" s="17" t="e">
        <f>SUM(J689:M689,R689:AA689)</f>
        <v>#N/A</v>
      </c>
      <c r="Q688" s="17">
        <f>M688</f>
        <v>0</v>
      </c>
      <c r="R688" s="39" t="e">
        <f>VLOOKUP((D689),'Pwr Factor'!$A$1:$B$52,2)</f>
        <v>#N/A</v>
      </c>
      <c r="S688" s="51">
        <v>0.1</v>
      </c>
      <c r="T688" s="12"/>
      <c r="U688" s="12"/>
      <c r="V688" s="12"/>
      <c r="W688" s="12"/>
      <c r="X688" s="12"/>
      <c r="Y688" s="12"/>
      <c r="Z688" s="12"/>
      <c r="AA688" s="12"/>
    </row>
    <row r="689" spans="1:29" ht="13" x14ac:dyDescent="0.3">
      <c r="A689" s="57" t="s">
        <v>173</v>
      </c>
      <c r="B689" s="111">
        <f>IF(AND('AES Indiana Sep 23 Bill Calc.'!$D$17="PH",'AES Indiana Sep 23 Bill Calc.'!$D$18="Yes 10%",'AES Indiana Sep 23 Bill Calc.'!$D$20="Yes 2023"),'AES Indiana Sep 23 Bill Calc.'!$D$19,-1)</f>
        <v>-1</v>
      </c>
      <c r="C689" s="111">
        <f>MAX(E689,$C$609)</f>
        <v>100</v>
      </c>
      <c r="D689" s="111" t="b">
        <f>IF(AND('AES Indiana Sep 23 Bill Calc.'!$D$17="PH",'AES Indiana Sep 23 Bill Calc.'!$D$18="Yes 10%",'AES Indiana Sep 23 Bill Calc.'!$D$20="Yes 2022"),'AES Indiana Sep 23 Bill Calc.'!$D$22)</f>
        <v>0</v>
      </c>
      <c r="E689" s="111" t="b">
        <f>IF(AND('AES Indiana Sep 23 Bill Calc.'!$D$17="PH",'AES Indiana Sep 23 Bill Calc.'!$D$18="Yes 10%",'AES Indiana Sep 23 Bill Calc.'!$D$20="Yes 2022"),'AES Indiana Sep 23 Bill Calc.'!$D$21)</f>
        <v>0</v>
      </c>
      <c r="F689" s="37" t="s">
        <v>299</v>
      </c>
      <c r="G689" s="165" t="e">
        <f>MAX(I689,P688)</f>
        <v>#N/A</v>
      </c>
      <c r="H689" s="19" t="e">
        <f>IF(ISBLANK(B689),0,+#REF!/B689)</f>
        <v>#REF!</v>
      </c>
      <c r="I689" s="140">
        <f>(E689*120*$K$608)+$J$608</f>
        <v>1231.26</v>
      </c>
      <c r="J689" s="53">
        <f>IF(ISBLANK(B689),0,+J$608)</f>
        <v>1231.26</v>
      </c>
      <c r="K689" s="16">
        <f>IF($B689&gt;K688,ROUND(K688*K$608,2),ROUND($B689*K$608,2))</f>
        <v>-0.08</v>
      </c>
      <c r="L689" s="17">
        <f>IF($B689&gt;K688,ROUND((B689-K688)*L$608,2),0)</f>
        <v>0</v>
      </c>
      <c r="M689" s="17">
        <f>IF($C689&gt;L$518,ROUND(($C689-L$518)*M$517,2),0)</f>
        <v>0</v>
      </c>
      <c r="N689" s="17">
        <f>SUM(K689:L689)</f>
        <v>-0.08</v>
      </c>
      <c r="O689" s="17"/>
      <c r="P689" s="12"/>
      <c r="Q689" s="17">
        <f>M689</f>
        <v>0</v>
      </c>
      <c r="R689" s="16" t="e">
        <f>ROUND(SUM(K689:M689)*(R688-1),2)</f>
        <v>#N/A</v>
      </c>
      <c r="S689" s="17">
        <f>ROUND($B689*S$608*S688,2)</f>
        <v>0</v>
      </c>
      <c r="T689" s="17">
        <f>ROUND($B689*T$608,2)</f>
        <v>0</v>
      </c>
      <c r="U689" s="17">
        <f>ROUND($B689*U$608,2)</f>
        <v>0</v>
      </c>
      <c r="V689" s="17">
        <f>ROUND($B689*V$607,2)</f>
        <v>0</v>
      </c>
      <c r="W689" s="17">
        <f>ROUND($B689*W$608,2)</f>
        <v>0</v>
      </c>
      <c r="X689" s="17">
        <f>ROUND($B689*X$608,2)</f>
        <v>0</v>
      </c>
      <c r="Y689" s="17">
        <f>ROUND($B689*Y$608,2)</f>
        <v>0</v>
      </c>
      <c r="Z689" s="17">
        <f>ROUND($B689*Z$608,2)</f>
        <v>0</v>
      </c>
      <c r="AA689" s="17">
        <f>ROUND($B689*AA$608,2)</f>
        <v>0</v>
      </c>
      <c r="AB689" s="19">
        <f>SUM(U684:AA684)</f>
        <v>0</v>
      </c>
      <c r="AC689" s="78" t="str">
        <f>+F689</f>
        <v>PH3</v>
      </c>
    </row>
    <row r="690" spans="1:29" ht="13" x14ac:dyDescent="0.3">
      <c r="A690" s="9"/>
      <c r="B690" s="111">
        <v>-1</v>
      </c>
      <c r="D690" s="8"/>
      <c r="E690" s="9"/>
      <c r="F690" s="37"/>
      <c r="H690" s="12"/>
      <c r="I690" s="19"/>
      <c r="J690" s="12"/>
      <c r="K690" s="44">
        <f>ROUND(C691*K$609,0)</f>
        <v>25000</v>
      </c>
      <c r="L690" s="36">
        <f>+B691-K690</f>
        <v>-25001</v>
      </c>
      <c r="M690" s="12"/>
      <c r="N690" s="12"/>
      <c r="O690" s="12"/>
      <c r="P690" s="17" t="e">
        <f>SUM(J691:M691,R691:AA691)</f>
        <v>#N/A</v>
      </c>
      <c r="Q690" s="17">
        <f>M690</f>
        <v>0</v>
      </c>
      <c r="R690" s="39" t="e">
        <f>VLOOKUP((D691),'Pwr Factor'!$A$1:$B$52,2)</f>
        <v>#N/A</v>
      </c>
      <c r="S690" s="51">
        <v>0</v>
      </c>
      <c r="T690" s="12"/>
      <c r="U690" s="12"/>
      <c r="V690" s="172"/>
      <c r="W690" s="12"/>
      <c r="X690" s="12"/>
      <c r="Y690" s="12"/>
      <c r="Z690" s="12"/>
      <c r="AA690" s="12"/>
    </row>
    <row r="691" spans="1:29" ht="13" x14ac:dyDescent="0.3">
      <c r="A691" s="57" t="s">
        <v>172</v>
      </c>
      <c r="B691" s="111">
        <f>IF(AND('AES Indiana Sep 23 Bill Calc.'!$D$17="PH",'AES Indiana Sep 23 Bill Calc.'!$D$18="No",'AES Indiana Sep 23 Bill Calc.'!$D$20="Yes 2023"),'AES Indiana Sep 23 Bill Calc.'!$D$19,-1)</f>
        <v>-1</v>
      </c>
      <c r="C691" s="111">
        <f>MAX(E691,$C$609)</f>
        <v>100</v>
      </c>
      <c r="D691" s="111" t="b">
        <f>IF(AND('AES Indiana Sep 23 Bill Calc.'!$D$17="PH",'AES Indiana Sep 23 Bill Calc.'!$D$18="No",'AES Indiana Sep 23 Bill Calc.'!$D$20="Yes 2022"),'AES Indiana Sep 23 Bill Calc.'!$D$22)</f>
        <v>0</v>
      </c>
      <c r="E691" s="111" t="b">
        <f>IF(AND('AES Indiana Sep 23 Bill Calc.'!$D$17="PH",'AES Indiana Sep 23 Bill Calc.'!$D$18="No",'AES Indiana Sep 23 Bill Calc.'!$D$20="Yes 2022"),'AES Indiana Sep 23 Bill Calc.'!$D$21)</f>
        <v>0</v>
      </c>
      <c r="F691" s="37" t="s">
        <v>299</v>
      </c>
      <c r="G691" s="165" t="e">
        <f>MAX(I691,P690)</f>
        <v>#N/A</v>
      </c>
      <c r="H691" s="19" t="e">
        <f>IF(ISBLANK(B691),0,+#REF!/B691)</f>
        <v>#REF!</v>
      </c>
      <c r="I691" s="140">
        <f>(E691*120*$K$608)+$J$608</f>
        <v>1231.26</v>
      </c>
      <c r="J691" s="53">
        <f>IF(ISBLANK(B691),0,+J$608)</f>
        <v>1231.26</v>
      </c>
      <c r="K691" s="16">
        <f>IF($B691&gt;K690,ROUND(K690*K$608,2),ROUND($B691*K$608,2))</f>
        <v>-0.08</v>
      </c>
      <c r="L691" s="17">
        <f>IF($B691&gt;K690,ROUND((B691-K690)*L$608,2),0)</f>
        <v>0</v>
      </c>
      <c r="M691" s="17">
        <f>IF($C691&gt;L$518,ROUND(($C691-L$518)*M$517,2),0)</f>
        <v>0</v>
      </c>
      <c r="N691" s="17">
        <f>SUM(K691:L691)</f>
        <v>-0.08</v>
      </c>
      <c r="O691" s="17"/>
      <c r="P691" s="17"/>
      <c r="Q691" s="17">
        <f>M691</f>
        <v>0</v>
      </c>
      <c r="R691" s="16" t="e">
        <f>ROUND(SUM(K691:M691)*(R690-1),2)</f>
        <v>#N/A</v>
      </c>
      <c r="S691" s="17">
        <f>ROUND($B691*S$608*S690,2)</f>
        <v>0</v>
      </c>
      <c r="T691" s="17">
        <f>ROUND($B691*T$608,2)</f>
        <v>0</v>
      </c>
      <c r="U691" s="17">
        <f>ROUND($B691*U$608,2)</f>
        <v>0</v>
      </c>
      <c r="V691" s="17">
        <f>ROUND($B691*V$607,2)</f>
        <v>0</v>
      </c>
      <c r="W691" s="17">
        <f>ROUND($B691*W$608,2)</f>
        <v>0</v>
      </c>
      <c r="X691" s="17">
        <f>ROUND($B691*X$608,2)</f>
        <v>0</v>
      </c>
      <c r="Y691" s="17">
        <f>ROUND($B691*Y$608,2)</f>
        <v>0</v>
      </c>
      <c r="Z691" s="17">
        <f>ROUND($B691*Z$608,2)</f>
        <v>0</v>
      </c>
      <c r="AA691" s="17">
        <f>ROUND($B691*AA$608,2)</f>
        <v>0</v>
      </c>
      <c r="AB691" s="19">
        <f>SUM(U686:AA686)</f>
        <v>0</v>
      </c>
      <c r="AC691" s="78" t="str">
        <f>+F691</f>
        <v>PH3</v>
      </c>
    </row>
    <row r="692" spans="1:29" ht="13" x14ac:dyDescent="0.3">
      <c r="A692" s="96"/>
      <c r="B692" s="111">
        <v>-1</v>
      </c>
      <c r="C692" s="9"/>
      <c r="D692" s="8"/>
      <c r="F692" s="37"/>
      <c r="G692" s="43"/>
      <c r="H692" s="19"/>
      <c r="I692" s="19"/>
      <c r="J692" s="42"/>
      <c r="K692" s="43"/>
      <c r="L692" s="43"/>
      <c r="M692" s="42"/>
      <c r="N692" s="42"/>
      <c r="O692" s="42"/>
      <c r="P692" s="42"/>
      <c r="Q692" s="42"/>
      <c r="R692" s="42"/>
      <c r="S692" s="43"/>
      <c r="T692" s="43"/>
      <c r="U692" s="43"/>
      <c r="V692" s="43"/>
      <c r="W692" s="43"/>
      <c r="X692" s="43"/>
      <c r="Y692" s="43"/>
      <c r="Z692" s="43"/>
      <c r="AA692" s="43"/>
      <c r="AB692" s="19"/>
    </row>
    <row r="693" spans="1:29" x14ac:dyDescent="0.25">
      <c r="B693" s="111">
        <v>-1</v>
      </c>
      <c r="C693" s="9"/>
      <c r="D693" s="8"/>
      <c r="G693" s="17"/>
      <c r="H693" s="19"/>
      <c r="I693" s="19"/>
      <c r="J693" s="8"/>
      <c r="K693" s="17"/>
      <c r="L693" s="17"/>
      <c r="M693" s="8"/>
      <c r="N693" s="8"/>
      <c r="O693" s="8"/>
      <c r="P693" s="8"/>
      <c r="Q693" s="8"/>
      <c r="R693" s="8"/>
      <c r="S693" s="17"/>
      <c r="T693" s="17"/>
      <c r="U693" s="17"/>
      <c r="V693" s="27">
        <f>+T8</f>
        <v>0</v>
      </c>
      <c r="W693" s="6" t="s">
        <v>93</v>
      </c>
      <c r="X693" s="17"/>
      <c r="Y693" s="17"/>
      <c r="Z693" s="17"/>
      <c r="AA693" s="17"/>
      <c r="AB693" s="19">
        <f>+AB$702-V$702+V693</f>
        <v>2.1570000000000001E-3</v>
      </c>
    </row>
    <row r="694" spans="1:29" x14ac:dyDescent="0.25">
      <c r="B694" s="111">
        <v>-1</v>
      </c>
      <c r="C694" s="9"/>
      <c r="D694" s="8"/>
      <c r="L694" t="s">
        <v>30</v>
      </c>
      <c r="M694" t="s">
        <v>30</v>
      </c>
      <c r="S694" s="6"/>
      <c r="T694" s="6"/>
      <c r="U694" s="6"/>
      <c r="V694" s="27">
        <f>+$T$12</f>
        <v>0</v>
      </c>
      <c r="W694" s="6" t="s">
        <v>100</v>
      </c>
      <c r="X694" s="6"/>
      <c r="Y694" s="6"/>
      <c r="Z694" s="6"/>
      <c r="AA694" s="6"/>
      <c r="AB694" s="19" t="e">
        <f>+AB$702-V$702+#REF!</f>
        <v>#REF!</v>
      </c>
    </row>
    <row r="695" spans="1:29" x14ac:dyDescent="0.25">
      <c r="B695" s="111">
        <v>-1</v>
      </c>
      <c r="C695" s="9"/>
      <c r="D695" s="8"/>
      <c r="S695" s="6"/>
      <c r="T695" s="6"/>
      <c r="U695" s="6"/>
      <c r="V695" s="27">
        <f>+$T$14</f>
        <v>0</v>
      </c>
      <c r="W695" s="6" t="s">
        <v>114</v>
      </c>
      <c r="X695" s="6"/>
      <c r="Y695" s="6"/>
      <c r="Z695" s="6"/>
      <c r="AA695" s="6"/>
      <c r="AB695" s="19">
        <f>+AB$702-V$702+V694</f>
        <v>2.1570000000000001E-3</v>
      </c>
    </row>
    <row r="696" spans="1:29" x14ac:dyDescent="0.25">
      <c r="B696" s="111">
        <v>-1</v>
      </c>
      <c r="C696" s="9"/>
      <c r="D696" s="8"/>
      <c r="S696" s="6"/>
      <c r="T696" s="6"/>
      <c r="U696" s="6"/>
      <c r="V696" s="27">
        <f>$T$16</f>
        <v>1.18E-4</v>
      </c>
      <c r="W696" s="6" t="s">
        <v>121</v>
      </c>
      <c r="X696" s="6"/>
      <c r="Y696" s="6"/>
      <c r="Z696" s="6"/>
      <c r="AA696" s="6"/>
      <c r="AB696" s="19"/>
    </row>
    <row r="697" spans="1:29" x14ac:dyDescent="0.25">
      <c r="B697" s="111">
        <v>-1</v>
      </c>
      <c r="C697" s="9"/>
      <c r="D697" s="8"/>
      <c r="S697" s="6"/>
      <c r="T697" s="6"/>
      <c r="U697" s="6"/>
      <c r="V697" s="27">
        <f>$T$19</f>
        <v>4.8799999999999999E-4</v>
      </c>
      <c r="W697" s="6" t="s">
        <v>140</v>
      </c>
      <c r="X697" s="6"/>
      <c r="Y697" s="6"/>
      <c r="Z697" s="6"/>
      <c r="AA697" s="6"/>
      <c r="AB697" s="19"/>
    </row>
    <row r="698" spans="1:29" x14ac:dyDescent="0.25">
      <c r="B698" s="111">
        <v>-1</v>
      </c>
      <c r="C698" s="9"/>
      <c r="D698" s="8"/>
      <c r="S698" s="6"/>
      <c r="T698" s="6"/>
      <c r="U698" s="6"/>
      <c r="V698" s="27">
        <f>$T$21</f>
        <v>1.0330000000000001E-3</v>
      </c>
      <c r="W698" s="6" t="s">
        <v>93</v>
      </c>
      <c r="X698" s="6"/>
      <c r="Y698" s="6"/>
      <c r="Z698" s="6"/>
      <c r="AA698" s="6"/>
      <c r="AB698" s="19"/>
    </row>
    <row r="699" spans="1:29" x14ac:dyDescent="0.25">
      <c r="B699" s="111">
        <v>-1</v>
      </c>
      <c r="C699" s="9"/>
      <c r="D699" s="8"/>
      <c r="S699" s="6"/>
      <c r="T699" s="6"/>
      <c r="U699" s="6"/>
      <c r="V699" s="27">
        <f>$T$23</f>
        <v>1.763E-3</v>
      </c>
      <c r="W699" s="6" t="s">
        <v>164</v>
      </c>
      <c r="X699" s="6"/>
      <c r="Y699" s="6"/>
      <c r="Z699" s="6"/>
      <c r="AA699" s="6"/>
      <c r="AB699" s="19"/>
    </row>
    <row r="700" spans="1:29" x14ac:dyDescent="0.25">
      <c r="B700" s="111">
        <v>-1</v>
      </c>
      <c r="C700" s="34" t="s">
        <v>261</v>
      </c>
      <c r="D700" s="8"/>
      <c r="S700" s="6"/>
      <c r="T700" s="6"/>
      <c r="U700" s="6"/>
      <c r="V700" s="27">
        <f>$T$25</f>
        <v>0</v>
      </c>
      <c r="W700" s="6" t="s">
        <v>177</v>
      </c>
      <c r="X700" s="6"/>
      <c r="Y700" s="6"/>
      <c r="Z700" s="6"/>
      <c r="AA700" s="6"/>
      <c r="AB700" s="19"/>
    </row>
    <row r="701" spans="1:29" x14ac:dyDescent="0.25">
      <c r="B701" s="111">
        <v>-1</v>
      </c>
      <c r="C701" s="9">
        <v>2000</v>
      </c>
      <c r="D701" s="8"/>
      <c r="S701" s="6"/>
      <c r="T701" s="6"/>
      <c r="U701" s="6"/>
      <c r="V701" s="19">
        <f>T27</f>
        <v>3.6970000000000002E-3</v>
      </c>
      <c r="W701" s="6" t="s">
        <v>294</v>
      </c>
      <c r="X701" s="6"/>
      <c r="Y701" s="6"/>
      <c r="Z701" s="6"/>
      <c r="AA701" s="6"/>
      <c r="AB701" s="19"/>
    </row>
    <row r="702" spans="1:29" x14ac:dyDescent="0.25">
      <c r="B702" s="111">
        <v>-1</v>
      </c>
      <c r="C702" s="9"/>
      <c r="D702" s="8"/>
      <c r="F702" s="82"/>
      <c r="G702" s="82"/>
      <c r="H702" s="82"/>
      <c r="I702" s="82"/>
      <c r="J702" s="84">
        <v>132.97999999999999</v>
      </c>
      <c r="K702" s="83">
        <v>3.5312000000000003E-2</v>
      </c>
      <c r="L702" s="84">
        <v>22.88</v>
      </c>
      <c r="M702" s="84">
        <v>22.88</v>
      </c>
      <c r="N702" s="84"/>
      <c r="O702" s="84"/>
      <c r="P702" s="84"/>
      <c r="Q702" s="84"/>
      <c r="R702" s="5"/>
      <c r="S702" s="27">
        <f>+S517</f>
        <v>3.0000000000000001E-3</v>
      </c>
      <c r="T702" s="27">
        <f>+T517</f>
        <v>-3.1020000000000002E-3</v>
      </c>
      <c r="U702" s="27">
        <f>+$S$28</f>
        <v>1.206E-3</v>
      </c>
      <c r="V702" s="27">
        <f>+V517</f>
        <v>6.1199999999999996E-3</v>
      </c>
      <c r="W702" s="27">
        <f>+W517</f>
        <v>0</v>
      </c>
      <c r="X702" s="27">
        <f>+V28</f>
        <v>5.3899999999999998E-4</v>
      </c>
      <c r="Y702" s="27">
        <f>+W28</f>
        <v>1.39E-3</v>
      </c>
      <c r="Z702" s="27">
        <f>+X28</f>
        <v>-9.7799999999999992E-4</v>
      </c>
      <c r="AA702" s="27">
        <f>+Y28</f>
        <v>2.1900000000000001E-4</v>
      </c>
      <c r="AB702" s="19">
        <f>SUM(U702:Z702)</f>
        <v>8.2769999999999996E-3</v>
      </c>
    </row>
    <row r="703" spans="1:29" x14ac:dyDescent="0.25">
      <c r="A703" s="1"/>
      <c r="B703" s="111">
        <v>-1</v>
      </c>
      <c r="C703" s="9"/>
      <c r="D703" s="8"/>
      <c r="F703" s="82"/>
      <c r="G703" s="82"/>
      <c r="H703" s="82"/>
      <c r="I703" s="82"/>
      <c r="J703" s="82"/>
      <c r="K703" s="82"/>
      <c r="L703" s="85">
        <v>4000</v>
      </c>
      <c r="M703" s="82"/>
      <c r="N703" s="82"/>
      <c r="O703" s="82"/>
      <c r="P703" s="82"/>
      <c r="Q703" s="82"/>
    </row>
    <row r="704" spans="1:29" x14ac:dyDescent="0.25">
      <c r="B704" s="111">
        <v>-1</v>
      </c>
      <c r="C704" s="9"/>
      <c r="D704" s="8"/>
      <c r="F704" s="12"/>
      <c r="J704" s="12" t="s">
        <v>1</v>
      </c>
      <c r="K704" s="12" t="s">
        <v>31</v>
      </c>
      <c r="L704" s="256" t="s">
        <v>32</v>
      </c>
      <c r="M704" s="256"/>
      <c r="N704" s="12"/>
      <c r="O704" s="12"/>
      <c r="P704" s="12"/>
      <c r="Q704" s="73" t="s">
        <v>175</v>
      </c>
      <c r="R704" s="12" t="s">
        <v>33</v>
      </c>
      <c r="S704" s="12">
        <v>21</v>
      </c>
      <c r="T704" s="12">
        <v>6</v>
      </c>
      <c r="U704" s="12">
        <v>3</v>
      </c>
      <c r="V704" s="12">
        <v>22</v>
      </c>
      <c r="W704" s="12">
        <v>13</v>
      </c>
      <c r="X704" s="12">
        <v>20</v>
      </c>
      <c r="Y704" s="12">
        <v>24</v>
      </c>
      <c r="Z704" s="12">
        <v>25</v>
      </c>
      <c r="AA704" s="12">
        <v>26</v>
      </c>
    </row>
    <row r="705" spans="1:29" x14ac:dyDescent="0.25">
      <c r="A705" s="13"/>
      <c r="B705" s="111">
        <v>-1</v>
      </c>
      <c r="C705" s="122" t="s">
        <v>135</v>
      </c>
      <c r="D705" s="123" t="s">
        <v>136</v>
      </c>
      <c r="E705" s="157" t="s">
        <v>260</v>
      </c>
      <c r="F705" s="13" t="s">
        <v>4</v>
      </c>
      <c r="G705" s="13" t="s">
        <v>12</v>
      </c>
      <c r="H705" s="13" t="s">
        <v>13</v>
      </c>
      <c r="I705" s="12"/>
      <c r="J705" s="13" t="s">
        <v>5</v>
      </c>
      <c r="K705" s="13" t="s">
        <v>5</v>
      </c>
      <c r="L705" s="13" t="s">
        <v>40</v>
      </c>
      <c r="M705" s="13" t="s">
        <v>41</v>
      </c>
      <c r="N705" s="73" t="s">
        <v>176</v>
      </c>
      <c r="O705" s="13"/>
      <c r="P705" s="13"/>
      <c r="Q705" s="13"/>
      <c r="R705" s="13" t="s">
        <v>35</v>
      </c>
      <c r="S705" s="13" t="s">
        <v>70</v>
      </c>
      <c r="T705" s="13" t="s">
        <v>9</v>
      </c>
      <c r="U705" s="80" t="s">
        <v>161</v>
      </c>
      <c r="V705" s="13" t="s">
        <v>79</v>
      </c>
      <c r="W705" s="13" t="s">
        <v>10</v>
      </c>
      <c r="X705" s="13" t="s">
        <v>11</v>
      </c>
      <c r="Y705" s="80" t="s">
        <v>104</v>
      </c>
      <c r="Z705" s="80" t="s">
        <v>105</v>
      </c>
      <c r="AA705" s="80" t="s">
        <v>106</v>
      </c>
      <c r="AB705" s="77" t="s">
        <v>71</v>
      </c>
    </row>
    <row r="706" spans="1:29" ht="13" x14ac:dyDescent="0.3">
      <c r="B706" s="111">
        <v>-1</v>
      </c>
      <c r="C706" s="9"/>
      <c r="D706" s="8"/>
      <c r="F706" s="37"/>
      <c r="G706" s="17"/>
      <c r="H706" s="19"/>
      <c r="I706" s="12"/>
      <c r="J706" s="12"/>
      <c r="K706" s="12"/>
      <c r="L706" s="12"/>
      <c r="M706" s="12"/>
      <c r="N706" s="12"/>
      <c r="O706" s="12"/>
      <c r="P706" s="12"/>
      <c r="Q706" s="12"/>
      <c r="R706" s="39" t="e">
        <f>VLOOKUP((D707),'Pwr Factor'!$A$1:$B$52,2)</f>
        <v>#N/A</v>
      </c>
      <c r="S706" s="51">
        <v>1</v>
      </c>
      <c r="T706" s="12"/>
      <c r="U706" s="12"/>
      <c r="V706" s="12"/>
      <c r="W706" s="12"/>
      <c r="X706" s="12"/>
      <c r="Y706" s="12"/>
      <c r="Z706" s="12"/>
      <c r="AA706" s="12"/>
    </row>
    <row r="707" spans="1:29" ht="13" x14ac:dyDescent="0.3">
      <c r="A707" s="1" t="s">
        <v>73</v>
      </c>
      <c r="B707" s="111">
        <f>IF(AND('AES Indiana Sep 23 Bill Calc.'!$D$17="HL1",'AES Indiana Sep 23 Bill Calc.'!$D$18="Yes 100%",'AES Indiana Sep 23 Bill Calc.'!$D$20="No"),'AES Indiana Sep 23 Bill Calc.'!$D$19,-1)</f>
        <v>-1</v>
      </c>
      <c r="C707" s="111">
        <f>MAX(E707,$C$701)</f>
        <v>2000</v>
      </c>
      <c r="D707" s="111" t="b">
        <f>IF(AND('AES Indiana Sep 23 Bill Calc.'!$D$17="HL1",'AES Indiana Sep 23 Bill Calc.'!$D$18="Yes 100%",'AES Indiana Sep 23 Bill Calc.'!$D$20="No"),'AES Indiana Sep 23 Bill Calc.'!$D$22)</f>
        <v>0</v>
      </c>
      <c r="E707" s="111" t="b">
        <f>IF(AND('AES Indiana Sep 23 Bill Calc.'!$D$17="HL1",'AES Indiana Sep 23 Bill Calc.'!$D$18="Yes 100%",'AES Indiana Sep 23 Bill Calc.'!$D$20="No"),'AES Indiana Sep 23 Bill Calc.'!$D$21)</f>
        <v>0</v>
      </c>
      <c r="F707" s="37" t="s">
        <v>42</v>
      </c>
      <c r="G707" s="113" t="e">
        <f>SUM(J707:M707,R707:AA707)</f>
        <v>#N/A</v>
      </c>
      <c r="H707" s="19" t="e">
        <f>IF(ISBLANK(B707),0,+#REF!/B707)</f>
        <v>#REF!</v>
      </c>
      <c r="I707" s="19"/>
      <c r="J707" s="53">
        <f>IF(ISBLANK(B707),0,+J$702)</f>
        <v>132.97999999999999</v>
      </c>
      <c r="K707" s="17">
        <f>ROUND($B707*K$702,2)</f>
        <v>-0.04</v>
      </c>
      <c r="L707" s="16">
        <f>IF(ISBLANK($C707),0,IF($C707&lt;$C$703,ROUND($C$703*$L$702,2),IF($C707&gt;L$703,ROUND(L$703*L$702,2),ROUND($C707*L$702,2))))</f>
        <v>45760</v>
      </c>
      <c r="M707" s="17">
        <f>IF($C707&gt;L$703,ROUND(($C707-L$703)*M$702,2),0)</f>
        <v>0</v>
      </c>
      <c r="N707" s="17">
        <f>K707</f>
        <v>-0.04</v>
      </c>
      <c r="O707" s="17"/>
      <c r="P707" s="17"/>
      <c r="Q707" s="17">
        <f>SUM(L707:M707)</f>
        <v>45760</v>
      </c>
      <c r="R707" s="16" t="e">
        <f>ROUND(SUM(K707:M707)*(R706-1),2)</f>
        <v>#N/A</v>
      </c>
      <c r="S707" s="17">
        <f>ROUND($B707*S$702*S706,2)</f>
        <v>0</v>
      </c>
      <c r="T707" s="17">
        <f t="shared" ref="T707:AA707" si="48">ROUND($B707*T$702,2)</f>
        <v>0</v>
      </c>
      <c r="U707" s="17">
        <f t="shared" si="48"/>
        <v>0</v>
      </c>
      <c r="V707" s="17">
        <f t="shared" si="48"/>
        <v>-0.01</v>
      </c>
      <c r="W707" s="17">
        <f t="shared" si="48"/>
        <v>0</v>
      </c>
      <c r="X707" s="17">
        <f t="shared" si="48"/>
        <v>0</v>
      </c>
      <c r="Y707" s="17">
        <f t="shared" si="48"/>
        <v>0</v>
      </c>
      <c r="Z707" s="17">
        <f t="shared" si="48"/>
        <v>0</v>
      </c>
      <c r="AA707" s="17">
        <f t="shared" si="48"/>
        <v>0</v>
      </c>
      <c r="AB707" s="19">
        <f>SUM(U702:AA702)</f>
        <v>8.4960000000000001E-3</v>
      </c>
      <c r="AC707" s="78" t="str">
        <f>+F707</f>
        <v>HL1</v>
      </c>
    </row>
    <row r="708" spans="1:29" ht="13" x14ac:dyDescent="0.3">
      <c r="A708" s="9"/>
      <c r="B708" s="111">
        <v>-1</v>
      </c>
      <c r="D708" s="8"/>
      <c r="E708" s="9"/>
      <c r="F708" s="37"/>
      <c r="G708" s="17"/>
      <c r="H708" s="19"/>
      <c r="I708" s="12"/>
      <c r="J708" s="12"/>
      <c r="K708" s="12"/>
      <c r="L708" s="12"/>
      <c r="M708" s="12"/>
      <c r="N708" s="12"/>
      <c r="O708" s="12"/>
      <c r="P708" s="12"/>
      <c r="Q708" s="12"/>
      <c r="R708" s="39" t="e">
        <f>VLOOKUP((D709),'Pwr Factor'!$A$1:$B$52,2)</f>
        <v>#N/A</v>
      </c>
      <c r="S708" s="51">
        <v>0.5</v>
      </c>
      <c r="T708" s="12"/>
      <c r="U708" s="12"/>
      <c r="V708" s="12"/>
      <c r="W708" s="12"/>
      <c r="X708" s="12"/>
      <c r="Y708" s="12"/>
      <c r="Z708" s="12"/>
      <c r="AA708" s="12"/>
    </row>
    <row r="709" spans="1:29" ht="13" x14ac:dyDescent="0.3">
      <c r="A709" s="57" t="s">
        <v>171</v>
      </c>
      <c r="B709" s="111">
        <f>IF(AND('AES Indiana Sep 23 Bill Calc.'!$D$17="HL1",'AES Indiana Sep 23 Bill Calc.'!$D$18="Yes 50%",'AES Indiana Sep 23 Bill Calc.'!$D$20="No"),'AES Indiana Sep 23 Bill Calc.'!$D$19,-1)</f>
        <v>-1</v>
      </c>
      <c r="C709" s="111">
        <f>MAX(E709,$C$701)</f>
        <v>2000</v>
      </c>
      <c r="D709" s="111" t="b">
        <f>IF(AND('AES Indiana Sep 23 Bill Calc.'!$D$17="HL1",'AES Indiana Sep 23 Bill Calc.'!$D$18="Yes 50%",'AES Indiana Sep 23 Bill Calc.'!$D$20="No"),'AES Indiana Sep 23 Bill Calc.'!$D$22)</f>
        <v>0</v>
      </c>
      <c r="E709" s="111" t="b">
        <f>IF(AND('AES Indiana Sep 23 Bill Calc.'!$D$17="HL1",'AES Indiana Sep 23 Bill Calc.'!$D$18="Yes 50%",'AES Indiana Sep 23 Bill Calc.'!$D$20="No"),'AES Indiana Sep 23 Bill Calc.'!$D$21)</f>
        <v>0</v>
      </c>
      <c r="F709" s="37" t="s">
        <v>42</v>
      </c>
      <c r="G709" s="113" t="e">
        <f>SUM(J709:M709,R709:AA709)</f>
        <v>#N/A</v>
      </c>
      <c r="H709" s="19" t="e">
        <f>IF(ISBLANK(B709),0,+#REF!/B709)</f>
        <v>#REF!</v>
      </c>
      <c r="I709" s="19"/>
      <c r="J709" s="53">
        <f>IF(ISBLANK(B709),0,+J$702)</f>
        <v>132.97999999999999</v>
      </c>
      <c r="K709" s="17">
        <f>ROUND($B709*K$702,2)</f>
        <v>-0.04</v>
      </c>
      <c r="L709" s="16">
        <f>IF(ISBLANK($C709),0,IF($C709&lt;$C$703,ROUND($C$703*$L$702,2),IF($C709&gt;L$703,ROUND(L$703*L$702,2),ROUND($C709*L$702,2))))</f>
        <v>45760</v>
      </c>
      <c r="M709" s="17">
        <f>IF($C709&gt;L$703,ROUND(($C709-L$703)*M$702,2),0)</f>
        <v>0</v>
      </c>
      <c r="N709" s="17">
        <f>K709</f>
        <v>-0.04</v>
      </c>
      <c r="O709" s="17"/>
      <c r="P709" s="17"/>
      <c r="Q709" s="17">
        <f>SUM(L709:M709)</f>
        <v>45760</v>
      </c>
      <c r="R709" s="16" t="e">
        <f>ROUND(SUM(K709:M709)*(R708-1),2)</f>
        <v>#N/A</v>
      </c>
      <c r="S709" s="17">
        <f>ROUND($B709*S$702*S708,2)</f>
        <v>0</v>
      </c>
      <c r="T709" s="17">
        <f t="shared" ref="T709:AA709" si="49">ROUND($B709*T$702,2)</f>
        <v>0</v>
      </c>
      <c r="U709" s="17">
        <f t="shared" si="49"/>
        <v>0</v>
      </c>
      <c r="V709" s="17">
        <f t="shared" si="49"/>
        <v>-0.01</v>
      </c>
      <c r="W709" s="17">
        <f t="shared" si="49"/>
        <v>0</v>
      </c>
      <c r="X709" s="17">
        <f t="shared" si="49"/>
        <v>0</v>
      </c>
      <c r="Y709" s="17">
        <f t="shared" si="49"/>
        <v>0</v>
      </c>
      <c r="Z709" s="17">
        <f t="shared" si="49"/>
        <v>0</v>
      </c>
      <c r="AA709" s="17">
        <f t="shared" si="49"/>
        <v>0</v>
      </c>
      <c r="AB709" s="19">
        <f>SUM(U704:AA704)</f>
        <v>133</v>
      </c>
      <c r="AC709" s="78" t="str">
        <f>+F709</f>
        <v>HL1</v>
      </c>
    </row>
    <row r="710" spans="1:29" ht="13" x14ac:dyDescent="0.3">
      <c r="A710" s="9"/>
      <c r="B710" s="111">
        <v>-1</v>
      </c>
      <c r="D710" s="8"/>
      <c r="E710" s="9"/>
      <c r="F710" s="37"/>
      <c r="G710" s="17"/>
      <c r="H710" s="19"/>
      <c r="I710" s="12"/>
      <c r="J710" s="12"/>
      <c r="K710" s="12"/>
      <c r="L710" s="12"/>
      <c r="M710" s="12"/>
      <c r="N710" s="12"/>
      <c r="O710" s="12"/>
      <c r="P710" s="12"/>
      <c r="Q710" s="12"/>
      <c r="R710" s="39" t="e">
        <f>VLOOKUP((D711),'Pwr Factor'!$A$1:$B$52,2)</f>
        <v>#N/A</v>
      </c>
      <c r="S710" s="51">
        <v>0.25</v>
      </c>
      <c r="T710" s="12"/>
      <c r="U710" s="12"/>
      <c r="V710" s="12"/>
      <c r="W710" s="12"/>
      <c r="X710" s="12"/>
      <c r="Y710" s="12"/>
      <c r="Z710" s="12"/>
      <c r="AA710" s="12"/>
    </row>
    <row r="711" spans="1:29" ht="13" x14ac:dyDescent="0.3">
      <c r="A711" s="57" t="s">
        <v>158</v>
      </c>
      <c r="B711" s="111">
        <f>IF(AND('AES Indiana Sep 23 Bill Calc.'!$D$17="HL1",'AES Indiana Sep 23 Bill Calc.'!$D$18="Yes 25%",'AES Indiana Sep 23 Bill Calc.'!$D$20="No"),'AES Indiana Sep 23 Bill Calc.'!$D$19,-1)</f>
        <v>-1</v>
      </c>
      <c r="C711" s="111">
        <f>MAX(E711,$C$701)</f>
        <v>2000</v>
      </c>
      <c r="D711" s="111" t="b">
        <f>IF(AND('AES Indiana Sep 23 Bill Calc.'!$D$17="HL1",'AES Indiana Sep 23 Bill Calc.'!$D$18="Yes 25%",'AES Indiana Sep 23 Bill Calc.'!$D$20="No"),'AES Indiana Sep 23 Bill Calc.'!$D$22)</f>
        <v>0</v>
      </c>
      <c r="E711" s="111" t="b">
        <f>IF(AND('AES Indiana Sep 23 Bill Calc.'!$D$17="HL1",'AES Indiana Sep 23 Bill Calc.'!$D$18="Yes 25%",'AES Indiana Sep 23 Bill Calc.'!$D$20="No"),'AES Indiana Sep 23 Bill Calc.'!$D$21)</f>
        <v>0</v>
      </c>
      <c r="F711" s="37" t="s">
        <v>42</v>
      </c>
      <c r="G711" s="113" t="e">
        <f>SUM(J711:M711,R711:AA711)</f>
        <v>#N/A</v>
      </c>
      <c r="H711" s="19" t="e">
        <f>IF(ISBLANK(B711),0,+#REF!/B711)</f>
        <v>#REF!</v>
      </c>
      <c r="I711" s="19"/>
      <c r="J711" s="53">
        <f>IF(ISBLANK(B711),0,+J$702)</f>
        <v>132.97999999999999</v>
      </c>
      <c r="K711" s="17">
        <f>ROUND($B711*K$702,2)</f>
        <v>-0.04</v>
      </c>
      <c r="L711" s="16">
        <f>IF(ISBLANK($C711),0,IF($C711&lt;$C$703,ROUND($C$703*$L$702,2),IF($C711&gt;L$703,ROUND(L$703*L$702,2),ROUND($C711*L$702,2))))</f>
        <v>45760</v>
      </c>
      <c r="M711" s="17">
        <f>IF($C711&gt;L$703,ROUND(($C711-L$703)*M$702,2),0)</f>
        <v>0</v>
      </c>
      <c r="N711" s="17">
        <f>K711</f>
        <v>-0.04</v>
      </c>
      <c r="O711" s="17"/>
      <c r="P711" s="17"/>
      <c r="Q711" s="17">
        <f>SUM(L711:M711)</f>
        <v>45760</v>
      </c>
      <c r="R711" s="16" t="e">
        <f>ROUND(SUM(K711:M711)*(R710-1),2)</f>
        <v>#N/A</v>
      </c>
      <c r="S711" s="17">
        <f>ROUND($B711*S$702*S710,2)</f>
        <v>0</v>
      </c>
      <c r="T711" s="17">
        <f t="shared" ref="T711:AA711" si="50">ROUND($B711*T$702,2)</f>
        <v>0</v>
      </c>
      <c r="U711" s="17">
        <f t="shared" si="50"/>
        <v>0</v>
      </c>
      <c r="V711" s="17">
        <f t="shared" si="50"/>
        <v>-0.01</v>
      </c>
      <c r="W711" s="17">
        <f t="shared" si="50"/>
        <v>0</v>
      </c>
      <c r="X711" s="17">
        <f t="shared" si="50"/>
        <v>0</v>
      </c>
      <c r="Y711" s="17">
        <f t="shared" si="50"/>
        <v>0</v>
      </c>
      <c r="Z711" s="17">
        <f t="shared" si="50"/>
        <v>0</v>
      </c>
      <c r="AA711" s="17">
        <f t="shared" si="50"/>
        <v>0</v>
      </c>
      <c r="AB711" s="19">
        <f>SUM(U706:AA706)</f>
        <v>0</v>
      </c>
      <c r="AC711" s="78" t="str">
        <f>+F711</f>
        <v>HL1</v>
      </c>
    </row>
    <row r="712" spans="1:29" ht="13" x14ac:dyDescent="0.3">
      <c r="A712" s="9"/>
      <c r="B712" s="111">
        <v>-1</v>
      </c>
      <c r="D712" s="8"/>
      <c r="E712" s="9"/>
      <c r="F712" s="37"/>
      <c r="G712" s="17"/>
      <c r="H712" s="19"/>
      <c r="I712" s="12"/>
      <c r="J712" s="12"/>
      <c r="K712" s="12"/>
      <c r="L712" s="12"/>
      <c r="M712" s="12"/>
      <c r="N712" s="12"/>
      <c r="O712" s="12"/>
      <c r="P712" s="12"/>
      <c r="Q712" s="17"/>
      <c r="R712" s="39" t="e">
        <f>VLOOKUP((D713),'Pwr Factor'!$A$1:$B$52,2)</f>
        <v>#N/A</v>
      </c>
      <c r="S712" s="51">
        <v>0.1</v>
      </c>
      <c r="T712" s="12"/>
      <c r="U712" s="12"/>
      <c r="V712" s="12"/>
      <c r="W712" s="12"/>
      <c r="X712" s="12"/>
      <c r="Y712" s="12"/>
      <c r="Z712" s="12"/>
      <c r="AA712" s="12"/>
    </row>
    <row r="713" spans="1:29" ht="13" x14ac:dyDescent="0.3">
      <c r="A713" s="57" t="s">
        <v>173</v>
      </c>
      <c r="B713" s="111">
        <f>IF(AND('AES Indiana Sep 23 Bill Calc.'!$D$17="HL1",'AES Indiana Sep 23 Bill Calc.'!$D$18="Yes 10%",'AES Indiana Sep 23 Bill Calc.'!$D$20="No"),'AES Indiana Sep 23 Bill Calc.'!$D$19,-1)</f>
        <v>-1</v>
      </c>
      <c r="C713" s="111">
        <f>MAX(E713,$C$701)</f>
        <v>2000</v>
      </c>
      <c r="D713" s="111" t="b">
        <f>IF(AND('AES Indiana Sep 23 Bill Calc.'!$D$17="HL1",'AES Indiana Sep 23 Bill Calc.'!$D$18="Yes 10%",'AES Indiana Sep 23 Bill Calc.'!$D$20="No"),'AES Indiana Sep 23 Bill Calc.'!$D$22)</f>
        <v>0</v>
      </c>
      <c r="E713" s="111" t="b">
        <f>IF(AND('AES Indiana Sep 23 Bill Calc.'!$D$17="HL1",'AES Indiana Sep 23 Bill Calc.'!$D$18="Yes 10%",'AES Indiana Sep 23 Bill Calc.'!$D$20="No"),'AES Indiana Sep 23 Bill Calc.'!$D$21)</f>
        <v>0</v>
      </c>
      <c r="F713" s="37" t="s">
        <v>42</v>
      </c>
      <c r="G713" s="113" t="e">
        <f>SUM(J713:M713,R713:AA713)</f>
        <v>#N/A</v>
      </c>
      <c r="H713" s="19" t="e">
        <f>IF(ISBLANK(B713),0,+#REF!/B713)</f>
        <v>#REF!</v>
      </c>
      <c r="I713" s="19"/>
      <c r="J713" s="53">
        <f>IF(ISBLANK(B713),0,+J$702)</f>
        <v>132.97999999999999</v>
      </c>
      <c r="K713" s="17">
        <f>ROUND($B713*K$702,2)</f>
        <v>-0.04</v>
      </c>
      <c r="L713" s="16">
        <f>IF(ISBLANK($C713),0,IF($C713&lt;$C$703,ROUND($C$703*$L$702,2),IF($C713&gt;L$703,ROUND(L$703*L$702,2),ROUND($C713*L$702,2))))</f>
        <v>45760</v>
      </c>
      <c r="M713" s="17">
        <f>IF($C713&gt;L$703,ROUND(($C713-L$703)*M$702,2),0)</f>
        <v>0</v>
      </c>
      <c r="N713" s="17">
        <f>K713</f>
        <v>-0.04</v>
      </c>
      <c r="O713" s="17"/>
      <c r="P713" s="17"/>
      <c r="Q713" s="17">
        <f>SUM(L713:M713)</f>
        <v>45760</v>
      </c>
      <c r="R713" s="16" t="e">
        <f>ROUND(SUM(K713:M713)*(R712-1),2)</f>
        <v>#N/A</v>
      </c>
      <c r="S713" s="17">
        <f>ROUND($B713*S$702*S712,2)</f>
        <v>0</v>
      </c>
      <c r="T713" s="17">
        <f t="shared" ref="T713:AA713" si="51">ROUND($B713*T$702,2)</f>
        <v>0</v>
      </c>
      <c r="U713" s="17">
        <f t="shared" si="51"/>
        <v>0</v>
      </c>
      <c r="V713" s="17">
        <f t="shared" si="51"/>
        <v>-0.01</v>
      </c>
      <c r="W713" s="17">
        <f t="shared" si="51"/>
        <v>0</v>
      </c>
      <c r="X713" s="17">
        <f t="shared" si="51"/>
        <v>0</v>
      </c>
      <c r="Y713" s="17">
        <f t="shared" si="51"/>
        <v>0</v>
      </c>
      <c r="Z713" s="17">
        <f t="shared" si="51"/>
        <v>0</v>
      </c>
      <c r="AA713" s="17">
        <f t="shared" si="51"/>
        <v>0</v>
      </c>
      <c r="AB713" s="19">
        <f>SUM(U708:AA708)</f>
        <v>0</v>
      </c>
      <c r="AC713" s="78" t="str">
        <f>+F713</f>
        <v>HL1</v>
      </c>
    </row>
    <row r="714" spans="1:29" ht="13" x14ac:dyDescent="0.3">
      <c r="A714" s="9"/>
      <c r="B714" s="111">
        <v>-1</v>
      </c>
      <c r="D714" s="8"/>
      <c r="E714" s="9"/>
      <c r="F714" s="37"/>
      <c r="G714" s="17"/>
      <c r="H714" s="19"/>
      <c r="I714" s="12"/>
      <c r="J714" s="12"/>
      <c r="K714" s="12"/>
      <c r="L714" s="12"/>
      <c r="M714" s="12"/>
      <c r="N714" s="12"/>
      <c r="O714" s="12"/>
      <c r="P714" s="12"/>
      <c r="Q714" s="12"/>
      <c r="R714" s="39" t="e">
        <f>VLOOKUP((D715),'Pwr Factor'!$A$1:$B$52,2)</f>
        <v>#N/A</v>
      </c>
      <c r="S714" s="51">
        <v>0</v>
      </c>
      <c r="T714" s="12"/>
      <c r="U714" s="12"/>
      <c r="V714" s="12"/>
      <c r="W714" s="12"/>
      <c r="X714" s="12"/>
      <c r="Y714" s="12"/>
      <c r="Z714" s="12"/>
      <c r="AA714" s="12"/>
    </row>
    <row r="715" spans="1:29" ht="13" x14ac:dyDescent="0.3">
      <c r="A715" s="57" t="s">
        <v>172</v>
      </c>
      <c r="B715" s="111">
        <f>IF(AND('AES Indiana Sep 23 Bill Calc.'!$D$17="HL1",'AES Indiana Sep 23 Bill Calc.'!$D$18="No",'AES Indiana Sep 23 Bill Calc.'!$D$20="No"),'AES Indiana Sep 23 Bill Calc.'!$D$19,-1)</f>
        <v>-1</v>
      </c>
      <c r="C715" s="111">
        <f>MAX(E715,$C$701)</f>
        <v>2000</v>
      </c>
      <c r="D715" s="111" t="b">
        <f>IF(AND('AES Indiana Sep 23 Bill Calc.'!$D$17="HL1",'AES Indiana Sep 23 Bill Calc.'!$D$18="No",'AES Indiana Sep 23 Bill Calc.'!$D$20="No"),'AES Indiana Sep 23 Bill Calc.'!$D$22)</f>
        <v>0</v>
      </c>
      <c r="E715" s="111" t="b">
        <f>IF(AND('AES Indiana Sep 23 Bill Calc.'!$D$17="HL1",'AES Indiana Sep 23 Bill Calc.'!$D$18="No",'AES Indiana Sep 23 Bill Calc.'!$D$20="No"),'AES Indiana Sep 23 Bill Calc.'!$D$21)</f>
        <v>0</v>
      </c>
      <c r="F715" s="37" t="s">
        <v>42</v>
      </c>
      <c r="G715" s="113" t="e">
        <f>SUM(J715:M715,R715:AA715)</f>
        <v>#N/A</v>
      </c>
      <c r="H715" s="19" t="e">
        <f>IF(ISBLANK(B715),0,+#REF!/B715)</f>
        <v>#REF!</v>
      </c>
      <c r="I715" s="19"/>
      <c r="J715" s="53">
        <f>IF(ISBLANK(B715),0,+J$702)</f>
        <v>132.97999999999999</v>
      </c>
      <c r="K715" s="17">
        <f>ROUND($B715*K$702,2)</f>
        <v>-0.04</v>
      </c>
      <c r="L715" s="16">
        <f>IF(ISBLANK($C715),0,IF($C715&lt;$C$703,ROUND($C$703*$L$702,2),IF($C715&gt;L$703,ROUND(L$703*L$702,2),ROUND($C715*L$702,2))))</f>
        <v>45760</v>
      </c>
      <c r="M715" s="17">
        <f>IF($C715&gt;L$703,ROUND(($C715-L$703)*M$702,2),0)</f>
        <v>0</v>
      </c>
      <c r="N715" s="17">
        <f>K715</f>
        <v>-0.04</v>
      </c>
      <c r="O715" s="17"/>
      <c r="P715" s="17"/>
      <c r="Q715" s="17">
        <f>SUM(L715:M715)</f>
        <v>45760</v>
      </c>
      <c r="R715" s="16" t="e">
        <f>ROUND(SUM(K715:M715)*(R714-1),2)</f>
        <v>#N/A</v>
      </c>
      <c r="S715" s="17">
        <f>ROUND($B715*S$702*S714,2)</f>
        <v>0</v>
      </c>
      <c r="T715" s="17">
        <f t="shared" ref="T715:AA715" si="52">ROUND($B715*T$702,2)</f>
        <v>0</v>
      </c>
      <c r="U715" s="17">
        <f t="shared" si="52"/>
        <v>0</v>
      </c>
      <c r="V715" s="17">
        <f t="shared" si="52"/>
        <v>-0.01</v>
      </c>
      <c r="W715" s="17">
        <f t="shared" si="52"/>
        <v>0</v>
      </c>
      <c r="X715" s="17">
        <f t="shared" si="52"/>
        <v>0</v>
      </c>
      <c r="Y715" s="17">
        <f t="shared" si="52"/>
        <v>0</v>
      </c>
      <c r="Z715" s="17">
        <f t="shared" si="52"/>
        <v>0</v>
      </c>
      <c r="AA715" s="17">
        <f t="shared" si="52"/>
        <v>0</v>
      </c>
      <c r="AB715" s="19">
        <f>SUM(U710:AA710)</f>
        <v>0</v>
      </c>
      <c r="AC715" s="78" t="str">
        <f>+F715</f>
        <v>HL1</v>
      </c>
    </row>
    <row r="716" spans="1:29" ht="13" x14ac:dyDescent="0.3">
      <c r="B716" s="111">
        <v>-1</v>
      </c>
      <c r="D716" s="8"/>
      <c r="E716" s="9"/>
      <c r="F716" s="37"/>
      <c r="G716" s="17"/>
      <c r="H716" s="19"/>
      <c r="J716" s="53"/>
      <c r="K716" s="17"/>
      <c r="L716" s="16"/>
      <c r="M716" s="17"/>
      <c r="N716" s="17"/>
      <c r="O716" s="17"/>
      <c r="P716" s="17"/>
      <c r="Q716" s="17"/>
      <c r="R716" s="39" t="e">
        <f>VLOOKUP((D717),'Pwr Factor'!$A$1:$B$52,2)</f>
        <v>#N/A</v>
      </c>
      <c r="S716" s="51">
        <v>1</v>
      </c>
      <c r="T716" s="17"/>
      <c r="U716" s="17"/>
      <c r="V716" s="8"/>
      <c r="W716" s="17"/>
      <c r="X716" s="17"/>
      <c r="Y716" s="17"/>
      <c r="Z716" s="17"/>
      <c r="AA716" s="17"/>
      <c r="AB716" s="19"/>
      <c r="AC716" s="78"/>
    </row>
    <row r="717" spans="1:29" ht="13" x14ac:dyDescent="0.3">
      <c r="A717" s="1" t="s">
        <v>73</v>
      </c>
      <c r="B717" s="111">
        <f>IF(AND('AES Indiana Sep 23 Bill Calc.'!$D$17="HL1",'AES Indiana Sep 23 Bill Calc.'!$D$18="Yes 100%",'AES Indiana Sep 23 Bill Calc.'!$D$20="Yes Before 2018"),'AES Indiana Sep 23 Bill Calc.'!$D$19,-1)</f>
        <v>-1</v>
      </c>
      <c r="C717" s="111">
        <f>MAX(E717,$C$701)</f>
        <v>2000</v>
      </c>
      <c r="D717" s="111" t="b">
        <f>IF(AND('AES Indiana Sep 23 Bill Calc.'!$D$17="HL1",'AES Indiana Sep 23 Bill Calc.'!$D$18="Yes 100%",'AES Indiana Sep 23 Bill Calc.'!$D$20="Yes Before 2018"),'AES Indiana Sep 23 Bill Calc.'!$D$22)</f>
        <v>0</v>
      </c>
      <c r="E717" s="111" t="b">
        <f>IF(AND('AES Indiana Sep 23 Bill Calc.'!$D$17="HL1",'AES Indiana Sep 23 Bill Calc.'!$D$18="Yes 100%",'AES Indiana Sep 23 Bill Calc.'!$D$20="Yes Before 2018"),'AES Indiana Sep 23 Bill Calc.'!$D$21)</f>
        <v>0</v>
      </c>
      <c r="F717" s="37" t="s">
        <v>116</v>
      </c>
      <c r="G717" s="113" t="e">
        <f>SUM(J717:M717,R717:AA717)</f>
        <v>#N/A</v>
      </c>
      <c r="H717" s="19" t="e">
        <f>IF(ISBLANK(B717),0,+#REF!/B717)</f>
        <v>#REF!</v>
      </c>
      <c r="J717" s="108">
        <f>IF(ISBLANK(B717),0,+J$702)</f>
        <v>132.97999999999999</v>
      </c>
      <c r="K717" s="43">
        <f>ROUND($B717*K$702,2)</f>
        <v>-0.04</v>
      </c>
      <c r="L717" s="16">
        <f>IF(ISBLANK($C717),0,IF($C717&lt;$C$703,ROUND($C$703*$L$702,2),IF($C717&gt;L$703,ROUND(L$703*L$702,2),ROUND($C717*L$702,2))))</f>
        <v>45760</v>
      </c>
      <c r="M717" s="17">
        <f>IF($C717&gt;L$703,ROUND(($C717-L$703)*M$702,2),0)</f>
        <v>0</v>
      </c>
      <c r="N717" s="17">
        <f>K717</f>
        <v>-0.04</v>
      </c>
      <c r="O717" s="43"/>
      <c r="P717" s="43"/>
      <c r="Q717" s="17">
        <f>SUM(L717:M717)</f>
        <v>45760</v>
      </c>
      <c r="R717" s="129" t="e">
        <f>ROUND(SUM(K717:M717)*(R716-1),2)</f>
        <v>#N/A</v>
      </c>
      <c r="S717" s="43">
        <f>ROUND($B717*S$702*S716,2)</f>
        <v>0</v>
      </c>
      <c r="T717" s="43">
        <f>ROUND($B717*T$702,2)</f>
        <v>0</v>
      </c>
      <c r="U717" s="43">
        <f>ROUND($B717*U$702,2)</f>
        <v>0</v>
      </c>
      <c r="V717" s="42">
        <f>ROUND($B717*V$695,2)</f>
        <v>0</v>
      </c>
      <c r="W717" s="43">
        <f>ROUND($B717*W$702,2)</f>
        <v>0</v>
      </c>
      <c r="X717" s="43">
        <f>ROUND($B717*X$702,2)</f>
        <v>0</v>
      </c>
      <c r="Y717" s="43">
        <f>ROUND($B717*Y$702,2)</f>
        <v>0</v>
      </c>
      <c r="Z717" s="43">
        <f>ROUND($B717*Z$702,2)</f>
        <v>0</v>
      </c>
      <c r="AA717" s="43">
        <f>ROUND($B717*AA$702,2)</f>
        <v>0</v>
      </c>
      <c r="AB717" s="19">
        <f>SUM(U$702:AA$702)+(-V$702+V695)</f>
        <v>2.3760000000000005E-3</v>
      </c>
      <c r="AC717" s="115" t="str">
        <f>+F717</f>
        <v>HL17</v>
      </c>
    </row>
    <row r="718" spans="1:29" ht="13" x14ac:dyDescent="0.3">
      <c r="A718" s="9"/>
      <c r="B718" s="111">
        <v>-1</v>
      </c>
      <c r="D718" s="8"/>
      <c r="E718" s="9"/>
      <c r="F718" s="37"/>
      <c r="G718" s="17"/>
      <c r="H718" s="19"/>
      <c r="J718" s="53"/>
      <c r="K718" s="17"/>
      <c r="L718" s="16"/>
      <c r="M718" s="17"/>
      <c r="N718" s="17"/>
      <c r="O718" s="17"/>
      <c r="P718" s="17"/>
      <c r="Q718" s="17"/>
      <c r="R718" s="39" t="e">
        <f>VLOOKUP((D719),'Pwr Factor'!$A$1:$B$52,2)</f>
        <v>#N/A</v>
      </c>
      <c r="S718" s="51">
        <v>0.5</v>
      </c>
      <c r="T718" s="17"/>
      <c r="U718" s="17"/>
      <c r="V718" s="8"/>
      <c r="W718" s="17"/>
      <c r="X718" s="17"/>
      <c r="Y718" s="17"/>
      <c r="Z718" s="17"/>
      <c r="AA718" s="17"/>
      <c r="AB718" s="19"/>
      <c r="AC718" s="78"/>
    </row>
    <row r="719" spans="1:29" ht="13" x14ac:dyDescent="0.3">
      <c r="A719" s="57" t="s">
        <v>171</v>
      </c>
      <c r="B719" s="111">
        <f>IF(AND('AES Indiana Sep 23 Bill Calc.'!$D$17="HL1",'AES Indiana Sep 23 Bill Calc.'!$D$18="Yes 50%",'AES Indiana Sep 23 Bill Calc.'!$D$20="Yes Before 2018"),'AES Indiana Sep 23 Bill Calc.'!$D$19,-1)</f>
        <v>-1</v>
      </c>
      <c r="C719" s="111">
        <f>MAX(E719,$C$701)</f>
        <v>2000</v>
      </c>
      <c r="D719" s="111" t="b">
        <f>IF(AND('AES Indiana Sep 23 Bill Calc.'!$D$17="HL1",'AES Indiana Sep 23 Bill Calc.'!$D$18="Yes 50%",'AES Indiana Sep 23 Bill Calc.'!$D$20="Yes Before 2018"),'AES Indiana Sep 23 Bill Calc.'!$D$22)</f>
        <v>0</v>
      </c>
      <c r="E719" s="111" t="b">
        <f>IF(AND('AES Indiana Sep 23 Bill Calc.'!$D$17="HL1",'AES Indiana Sep 23 Bill Calc.'!$D$18="Yes 50%",'AES Indiana Sep 23 Bill Calc.'!$D$20="Yes Before 2018"),'AES Indiana Sep 23 Bill Calc.'!$D$21)</f>
        <v>0</v>
      </c>
      <c r="F719" s="37" t="s">
        <v>116</v>
      </c>
      <c r="G719" s="113" t="e">
        <f>SUM(J719:M719,R719:AA719)</f>
        <v>#N/A</v>
      </c>
      <c r="H719" s="19" t="e">
        <f>IF(ISBLANK(B719),0,+#REF!/B719)</f>
        <v>#REF!</v>
      </c>
      <c r="J719" s="108">
        <f>IF(ISBLANK(B719),0,+J$702)</f>
        <v>132.97999999999999</v>
      </c>
      <c r="K719" s="43">
        <f>ROUND($B719*K$702,2)</f>
        <v>-0.04</v>
      </c>
      <c r="L719" s="16">
        <f>IF(ISBLANK($C719),0,IF($C719&lt;$C$703,ROUND($C$703*$L$702,2),IF($C719&gt;L$703,ROUND(L$703*L$702,2),ROUND($C719*L$702,2))))</f>
        <v>45760</v>
      </c>
      <c r="M719" s="17">
        <f>IF($C719&gt;L$703,ROUND(($C719-L$703)*M$702,2),0)</f>
        <v>0</v>
      </c>
      <c r="N719" s="17">
        <f>K719</f>
        <v>-0.04</v>
      </c>
      <c r="O719" s="43"/>
      <c r="P719" s="43"/>
      <c r="Q719" s="17">
        <f>SUM(L719:M719)</f>
        <v>45760</v>
      </c>
      <c r="R719" s="129" t="e">
        <f>ROUND(SUM(K719:M719)*(R718-1),2)</f>
        <v>#N/A</v>
      </c>
      <c r="S719" s="43">
        <f>ROUND($B719*S$702*S718,2)</f>
        <v>0</v>
      </c>
      <c r="T719" s="43">
        <f>ROUND($B719*T$702,2)</f>
        <v>0</v>
      </c>
      <c r="U719" s="43">
        <f>ROUND($B719*U$702,2)</f>
        <v>0</v>
      </c>
      <c r="V719" s="42">
        <f>ROUND($B719*V$695,2)</f>
        <v>0</v>
      </c>
      <c r="W719" s="43">
        <f>ROUND($B719*W$702,2)</f>
        <v>0</v>
      </c>
      <c r="X719" s="43">
        <f>ROUND($B719*X$702,2)</f>
        <v>0</v>
      </c>
      <c r="Y719" s="43">
        <f>ROUND($B719*Y$702,2)</f>
        <v>0</v>
      </c>
      <c r="Z719" s="43">
        <f>ROUND($B719*Z$702,2)</f>
        <v>0</v>
      </c>
      <c r="AA719" s="43">
        <f>ROUND($B719*AA$702,2)</f>
        <v>0</v>
      </c>
      <c r="AB719" s="19">
        <f>SUM(U$702:AA$702)+(-V$702+V697)</f>
        <v>2.8640000000000002E-3</v>
      </c>
      <c r="AC719" s="115" t="str">
        <f>+F719</f>
        <v>HL17</v>
      </c>
    </row>
    <row r="720" spans="1:29" ht="13" x14ac:dyDescent="0.3">
      <c r="A720" s="9"/>
      <c r="B720" s="111">
        <v>-1</v>
      </c>
      <c r="D720" s="8"/>
      <c r="E720" s="9"/>
      <c r="F720" s="37"/>
      <c r="G720" s="17"/>
      <c r="H720" s="19"/>
      <c r="J720" s="53"/>
      <c r="K720" s="17"/>
      <c r="L720" s="16"/>
      <c r="M720" s="17"/>
      <c r="N720" s="17"/>
      <c r="O720" s="17"/>
      <c r="P720" s="17"/>
      <c r="Q720" s="17"/>
      <c r="R720" s="39" t="e">
        <f>VLOOKUP((D721),'Pwr Factor'!$A$1:$B$52,2)</f>
        <v>#N/A</v>
      </c>
      <c r="S720" s="51">
        <v>0.25</v>
      </c>
      <c r="T720" s="17"/>
      <c r="U720" s="17"/>
      <c r="V720" s="8"/>
      <c r="W720" s="17"/>
      <c r="X720" s="17"/>
      <c r="Y720" s="17"/>
      <c r="Z720" s="17"/>
      <c r="AA720" s="17"/>
      <c r="AB720" s="19"/>
      <c r="AC720" s="78"/>
    </row>
    <row r="721" spans="1:29" ht="13" x14ac:dyDescent="0.3">
      <c r="A721" s="57" t="s">
        <v>158</v>
      </c>
      <c r="B721" s="111">
        <f>IF(AND('AES Indiana Sep 23 Bill Calc.'!$D$17="HL1",'AES Indiana Sep 23 Bill Calc.'!$D$18="Yes 25%",'AES Indiana Sep 23 Bill Calc.'!$D$20="Yes Before 2018"),'AES Indiana Sep 23 Bill Calc.'!$D$19,-1)</f>
        <v>-1</v>
      </c>
      <c r="C721" s="111">
        <f>MAX(E721,$C$701)</f>
        <v>2000</v>
      </c>
      <c r="D721" s="111" t="b">
        <f>IF(AND('AES Indiana Sep 23 Bill Calc.'!$D$17="HL1",'AES Indiana Sep 23 Bill Calc.'!$D$18="Yes 25%",'AES Indiana Sep 23 Bill Calc.'!$D$20="Yes Before 2018"),'AES Indiana Sep 23 Bill Calc.'!$D$22)</f>
        <v>0</v>
      </c>
      <c r="E721" s="111" t="b">
        <f>IF(AND('AES Indiana Sep 23 Bill Calc.'!$D$17="HL1",'AES Indiana Sep 23 Bill Calc.'!$D$18="Yes 25%",'AES Indiana Sep 23 Bill Calc.'!$D$20="Yes Before 2018"),'AES Indiana Sep 23 Bill Calc.'!$D$21)</f>
        <v>0</v>
      </c>
      <c r="F721" s="37" t="s">
        <v>116</v>
      </c>
      <c r="G721" s="113" t="e">
        <f>SUM(J721:M721,R721:AA721)</f>
        <v>#N/A</v>
      </c>
      <c r="H721" s="19" t="e">
        <f>IF(ISBLANK(B721),0,+#REF!/B721)</f>
        <v>#REF!</v>
      </c>
      <c r="J721" s="108">
        <f>IF(ISBLANK(B721),0,+J$702)</f>
        <v>132.97999999999999</v>
      </c>
      <c r="K721" s="43">
        <f>ROUND($B721*K$702,2)</f>
        <v>-0.04</v>
      </c>
      <c r="L721" s="16">
        <f>IF(ISBLANK($C721),0,IF($C721&lt;$C$703,ROUND($C$703*$L$702,2),IF($C721&gt;L$703,ROUND(L$703*L$702,2),ROUND($C721*L$702,2))))</f>
        <v>45760</v>
      </c>
      <c r="M721" s="17">
        <f>IF($C721&gt;L$703,ROUND(($C721-L$703)*M$702,2),0)</f>
        <v>0</v>
      </c>
      <c r="N721" s="17">
        <f>K721</f>
        <v>-0.04</v>
      </c>
      <c r="O721" s="43"/>
      <c r="P721" s="43"/>
      <c r="Q721" s="17">
        <f>SUM(L721:M721)</f>
        <v>45760</v>
      </c>
      <c r="R721" s="129" t="e">
        <f>ROUND(SUM(K721:M721)*(R720-1),2)</f>
        <v>#N/A</v>
      </c>
      <c r="S721" s="43">
        <f>ROUND($B721*S$702*S720,2)</f>
        <v>0</v>
      </c>
      <c r="T721" s="43">
        <f>ROUND($B721*T$702,2)</f>
        <v>0</v>
      </c>
      <c r="U721" s="43">
        <f>ROUND($B721*U$702,2)</f>
        <v>0</v>
      </c>
      <c r="V721" s="42">
        <f>ROUND($B721*V$695,2)</f>
        <v>0</v>
      </c>
      <c r="W721" s="43">
        <f>ROUND($B721*W$702,2)</f>
        <v>0</v>
      </c>
      <c r="X721" s="43">
        <f>ROUND($B721*X$702,2)</f>
        <v>0</v>
      </c>
      <c r="Y721" s="43">
        <f>ROUND($B721*Y$702,2)</f>
        <v>0</v>
      </c>
      <c r="Z721" s="43">
        <f>ROUND($B721*Z$702,2)</f>
        <v>0</v>
      </c>
      <c r="AA721" s="43">
        <f>ROUND($B721*AA$702,2)</f>
        <v>0</v>
      </c>
      <c r="AB721" s="19">
        <f>SUM(U$702:AA$702)+(-V$702+V699)</f>
        <v>4.1390000000000003E-3</v>
      </c>
      <c r="AC721" s="115" t="str">
        <f>+F721</f>
        <v>HL17</v>
      </c>
    </row>
    <row r="722" spans="1:29" ht="13" x14ac:dyDescent="0.3">
      <c r="A722" s="9"/>
      <c r="B722" s="111">
        <v>-1</v>
      </c>
      <c r="D722" s="8"/>
      <c r="E722" s="9"/>
      <c r="F722" s="37"/>
      <c r="G722" s="17"/>
      <c r="H722" s="19"/>
      <c r="J722" s="53"/>
      <c r="K722" s="17"/>
      <c r="L722" s="16"/>
      <c r="M722" s="17"/>
      <c r="N722" s="17"/>
      <c r="O722" s="17"/>
      <c r="P722" s="17"/>
      <c r="Q722" s="17"/>
      <c r="R722" s="39" t="e">
        <f>VLOOKUP((D723),'Pwr Factor'!$A$1:$B$52,2)</f>
        <v>#N/A</v>
      </c>
      <c r="S722" s="51">
        <v>0.1</v>
      </c>
      <c r="T722" s="17"/>
      <c r="U722" s="17"/>
      <c r="V722" s="8"/>
      <c r="W722" s="17"/>
      <c r="X722" s="17"/>
      <c r="Y722" s="17"/>
      <c r="Z722" s="17"/>
      <c r="AA722" s="17"/>
      <c r="AB722" s="19"/>
      <c r="AC722" s="78"/>
    </row>
    <row r="723" spans="1:29" ht="13" x14ac:dyDescent="0.3">
      <c r="A723" s="57" t="s">
        <v>173</v>
      </c>
      <c r="B723" s="111">
        <f>IF(AND('AES Indiana Sep 23 Bill Calc.'!$D$17="HL1",'AES Indiana Sep 23 Bill Calc.'!$D$18="Yes 10%",'AES Indiana Sep 23 Bill Calc.'!$D$20="Yes Before 2018"),'AES Indiana Sep 23 Bill Calc.'!$D$19,-1)</f>
        <v>-1</v>
      </c>
      <c r="C723" s="111">
        <f>MAX(E723,$C$701)</f>
        <v>2000</v>
      </c>
      <c r="D723" s="111" t="b">
        <f>IF(AND('AES Indiana Sep 23 Bill Calc.'!$D$17="HL1",'AES Indiana Sep 23 Bill Calc.'!$D$18="Yes 10%",'AES Indiana Sep 23 Bill Calc.'!$D$20="Yes Before 2018"),'AES Indiana Sep 23 Bill Calc.'!$D$22)</f>
        <v>0</v>
      </c>
      <c r="E723" s="111" t="b">
        <f>IF(AND('AES Indiana Sep 23 Bill Calc.'!$D$17="HL1",'AES Indiana Sep 23 Bill Calc.'!$D$18="Yes 10%",'AES Indiana Sep 23 Bill Calc.'!$D$20="Yes Before 2018"),'AES Indiana Sep 23 Bill Calc.'!$D$21)</f>
        <v>0</v>
      </c>
      <c r="F723" s="37" t="s">
        <v>116</v>
      </c>
      <c r="G723" s="113" t="e">
        <f>SUM(J723:M723,R723:AA723)</f>
        <v>#N/A</v>
      </c>
      <c r="H723" s="19" t="e">
        <f>IF(ISBLANK(B723),0,+#REF!/B723)</f>
        <v>#REF!</v>
      </c>
      <c r="J723" s="108">
        <f>IF(ISBLANK(B723),0,+J$702)</f>
        <v>132.97999999999999</v>
      </c>
      <c r="K723" s="43">
        <f>ROUND($B723*K$702,2)</f>
        <v>-0.04</v>
      </c>
      <c r="L723" s="16">
        <f>IF(ISBLANK($C723),0,IF($C723&lt;$C$703,ROUND($C$703*$L$702,2),IF($C723&gt;L$703,ROUND(L$703*L$702,2),ROUND($C723*L$702,2))))</f>
        <v>45760</v>
      </c>
      <c r="M723" s="17">
        <f>IF($C723&gt;L$703,ROUND(($C723-L$703)*M$702,2),0)</f>
        <v>0</v>
      </c>
      <c r="N723" s="17">
        <f>K723</f>
        <v>-0.04</v>
      </c>
      <c r="O723" s="43"/>
      <c r="P723" s="43"/>
      <c r="Q723" s="17">
        <f>SUM(L723:M723)</f>
        <v>45760</v>
      </c>
      <c r="R723" s="129" t="e">
        <f>ROUND(SUM(K723:M723)*(R722-1),2)</f>
        <v>#N/A</v>
      </c>
      <c r="S723" s="43">
        <f>ROUND($B723*S$702*S722,2)</f>
        <v>0</v>
      </c>
      <c r="T723" s="43">
        <f>ROUND($B723*T$702,2)</f>
        <v>0</v>
      </c>
      <c r="U723" s="43">
        <f>ROUND($B723*U$702,2)</f>
        <v>0</v>
      </c>
      <c r="V723" s="42">
        <f>ROUND($B723*V$695,2)</f>
        <v>0</v>
      </c>
      <c r="W723" s="43">
        <f>ROUND($B723*W$702,2)</f>
        <v>0</v>
      </c>
      <c r="X723" s="43">
        <f>ROUND($B723*X$702,2)</f>
        <v>0</v>
      </c>
      <c r="Y723" s="43">
        <f>ROUND($B723*Y$702,2)</f>
        <v>0</v>
      </c>
      <c r="Z723" s="43">
        <f>ROUND($B723*Z$702,2)</f>
        <v>0</v>
      </c>
      <c r="AA723" s="43">
        <f>ROUND($B723*AA$702,2)</f>
        <v>0</v>
      </c>
      <c r="AB723" s="19">
        <f>SUM(U$702:AA$702)+(-V$702+V702)</f>
        <v>8.4960000000000001E-3</v>
      </c>
      <c r="AC723" s="115" t="str">
        <f>+F723</f>
        <v>HL17</v>
      </c>
    </row>
    <row r="724" spans="1:29" ht="13" x14ac:dyDescent="0.3">
      <c r="A724" s="9"/>
      <c r="B724" s="111">
        <v>-1</v>
      </c>
      <c r="D724" s="8"/>
      <c r="E724" s="9"/>
      <c r="F724" s="37"/>
      <c r="G724" s="17"/>
      <c r="H724" s="19"/>
      <c r="J724" s="53"/>
      <c r="K724" s="17"/>
      <c r="L724" s="16"/>
      <c r="M724" s="17"/>
      <c r="N724" s="17"/>
      <c r="O724" s="17"/>
      <c r="P724" s="17"/>
      <c r="Q724" s="17"/>
      <c r="R724" s="39" t="e">
        <f>VLOOKUP((D725),'Pwr Factor'!$A$1:$B$52,2)</f>
        <v>#N/A</v>
      </c>
      <c r="S724" s="51">
        <v>0</v>
      </c>
      <c r="T724" s="17"/>
      <c r="U724" s="17"/>
      <c r="V724" s="8"/>
      <c r="W724" s="17"/>
      <c r="X724" s="17"/>
      <c r="Y724" s="17"/>
      <c r="Z724" s="17"/>
      <c r="AA724" s="17"/>
      <c r="AB724" s="19"/>
      <c r="AC724" s="78"/>
    </row>
    <row r="725" spans="1:29" ht="13" x14ac:dyDescent="0.3">
      <c r="A725" s="57" t="s">
        <v>172</v>
      </c>
      <c r="B725" s="111">
        <f>IF(AND('AES Indiana Sep 23 Bill Calc.'!$D$17="HL1",'AES Indiana Sep 23 Bill Calc.'!$D$18="No",'AES Indiana Sep 23 Bill Calc.'!$D$20="Yes Before 2018"),'AES Indiana Sep 23 Bill Calc.'!$D$19,-1)</f>
        <v>-1</v>
      </c>
      <c r="C725" s="111">
        <f>MAX(E725,$C$701)</f>
        <v>2000</v>
      </c>
      <c r="D725" s="111" t="b">
        <f>IF(AND('AES Indiana Sep 23 Bill Calc.'!$D$17="HL1",'AES Indiana Sep 23 Bill Calc.'!$D$18="No",'AES Indiana Sep 23 Bill Calc.'!$D$20="Yes Before 2018"),'AES Indiana Sep 23 Bill Calc.'!$D$22)</f>
        <v>0</v>
      </c>
      <c r="E725" s="111" t="b">
        <f>IF(AND('AES Indiana Sep 23 Bill Calc.'!$D$17="HL1",'AES Indiana Sep 23 Bill Calc.'!$D$18="No",'AES Indiana Sep 23 Bill Calc.'!$D$20="Yes Before 2018"),'AES Indiana Sep 23 Bill Calc.'!$D$21)</f>
        <v>0</v>
      </c>
      <c r="F725" s="37" t="s">
        <v>116</v>
      </c>
      <c r="G725" s="113" t="e">
        <f>SUM(J725:M725,R725:AA725)</f>
        <v>#N/A</v>
      </c>
      <c r="H725" s="19" t="e">
        <f>IF(ISBLANK(B725),0,+#REF!/B725)</f>
        <v>#REF!</v>
      </c>
      <c r="J725" s="108">
        <f>IF(ISBLANK(B725),0,+J$702)</f>
        <v>132.97999999999999</v>
      </c>
      <c r="K725" s="43">
        <f>ROUND($B725*K$702,2)</f>
        <v>-0.04</v>
      </c>
      <c r="L725" s="16">
        <f>IF(ISBLANK($C725),0,IF($C725&lt;$C$703,ROUND($C$703*$L$702,2),IF($C725&gt;L$703,ROUND(L$703*L$702,2),ROUND($C725*L$702,2))))</f>
        <v>45760</v>
      </c>
      <c r="M725" s="17">
        <f>IF($C725&gt;L$703,ROUND(($C725-L$703)*M$702,2),0)</f>
        <v>0</v>
      </c>
      <c r="N725" s="17">
        <f>K725</f>
        <v>-0.04</v>
      </c>
      <c r="O725" s="43"/>
      <c r="P725" s="43"/>
      <c r="Q725" s="17">
        <f>SUM(L725:M725)</f>
        <v>45760</v>
      </c>
      <c r="R725" s="129" t="e">
        <f>ROUND(SUM(K725:M725)*(R724-1),2)</f>
        <v>#N/A</v>
      </c>
      <c r="S725" s="43">
        <f>ROUND($B725*S$702*S724,2)</f>
        <v>0</v>
      </c>
      <c r="T725" s="43">
        <f>ROUND($B725*T$702,2)</f>
        <v>0</v>
      </c>
      <c r="U725" s="43">
        <f>ROUND($B725*U$702,2)</f>
        <v>0</v>
      </c>
      <c r="V725" s="42">
        <f>ROUND($B725*V$695,2)</f>
        <v>0</v>
      </c>
      <c r="W725" s="43">
        <f>ROUND($B725*W$702,2)</f>
        <v>0</v>
      </c>
      <c r="X725" s="43">
        <f>ROUND($B725*X$702,2)</f>
        <v>0</v>
      </c>
      <c r="Y725" s="43">
        <f>ROUND($B725*Y$702,2)</f>
        <v>0</v>
      </c>
      <c r="Z725" s="43">
        <f>ROUND($B725*Z$702,2)</f>
        <v>0</v>
      </c>
      <c r="AA725" s="43">
        <f>ROUND($B725*AA$702,2)</f>
        <v>0</v>
      </c>
      <c r="AB725" s="19">
        <f>SUM(U$702:AA$702)+(-V$702+V704)</f>
        <v>22.002376000000002</v>
      </c>
      <c r="AC725" s="115" t="str">
        <f>+F725</f>
        <v>HL17</v>
      </c>
    </row>
    <row r="726" spans="1:29" ht="13" x14ac:dyDescent="0.3">
      <c r="B726" s="111">
        <v>-1</v>
      </c>
      <c r="D726" s="8"/>
      <c r="E726" s="9"/>
      <c r="F726" s="37"/>
      <c r="G726" s="17"/>
      <c r="H726" s="19"/>
      <c r="I726" s="12"/>
      <c r="J726" s="12"/>
      <c r="K726" s="12"/>
      <c r="L726" s="12"/>
      <c r="M726" s="12"/>
      <c r="N726" s="12"/>
      <c r="O726" s="12"/>
      <c r="P726" s="12"/>
      <c r="Q726" s="12"/>
      <c r="R726" s="39" t="e">
        <f>VLOOKUP((D727),'Pwr Factor'!$A$1:$B$52,2)</f>
        <v>#N/A</v>
      </c>
      <c r="S726" s="51">
        <v>1</v>
      </c>
      <c r="T726" s="12"/>
      <c r="U726" s="12"/>
      <c r="V726" s="12"/>
      <c r="W726" s="12"/>
      <c r="X726" s="12"/>
      <c r="Y726" s="12"/>
      <c r="Z726" s="12"/>
      <c r="AA726" s="12"/>
    </row>
    <row r="727" spans="1:29" ht="13" x14ac:dyDescent="0.3">
      <c r="A727" s="1" t="s">
        <v>73</v>
      </c>
      <c r="B727" s="111">
        <f>IF(AND('AES Indiana Sep 23 Bill Calc.'!$D$17="HL1",'AES Indiana Sep 23 Bill Calc.'!$D$18="Yes 100%",'AES Indiana Sep 23 Bill Calc.'!$D$20="Yes 2018"),'AES Indiana Sep 23 Bill Calc.'!$D$19,-1)</f>
        <v>-1</v>
      </c>
      <c r="C727" s="111">
        <f>MAX(E727,$C$701)</f>
        <v>2000</v>
      </c>
      <c r="D727" s="111" t="b">
        <f>IF(AND('AES Indiana Sep 23 Bill Calc.'!$D$17="HL1",'AES Indiana Sep 23 Bill Calc.'!$D$18="Yes 100%",'AES Indiana Sep 23 Bill Calc.'!$D$20="Yes 2018"),'AES Indiana Sep 23 Bill Calc.'!$D$22)</f>
        <v>0</v>
      </c>
      <c r="E727" s="111" t="b">
        <f>IF(AND('AES Indiana Sep 23 Bill Calc.'!$D$17="HL1",'AES Indiana Sep 23 Bill Calc.'!$D$18="Yes 100%",'AES Indiana Sep 23 Bill Calc.'!$D$20="Yes 2018"),'AES Indiana Sep 23 Bill Calc.'!$D$21)</f>
        <v>0</v>
      </c>
      <c r="F727" s="37" t="s">
        <v>120</v>
      </c>
      <c r="G727" s="113" t="e">
        <f>SUM(J727:M727,R727:AA727)</f>
        <v>#N/A</v>
      </c>
      <c r="H727" s="19" t="e">
        <f>IF(ISBLANK(B727),0,+#REF!/B727)</f>
        <v>#REF!</v>
      </c>
      <c r="I727" s="19"/>
      <c r="J727" s="108">
        <f>IF(ISBLANK(B727),0,+J$702)</f>
        <v>132.97999999999999</v>
      </c>
      <c r="K727" s="43">
        <f>ROUND($B727*K$702,2)</f>
        <v>-0.04</v>
      </c>
      <c r="L727" s="16">
        <f>IF(ISBLANK($C727),0,IF($C727&lt;$C$703,ROUND($C$703*$L$702,2),IF($C727&gt;L$703,ROUND(L$703*L$702,2),ROUND($C727*L$702,2))))</f>
        <v>45760</v>
      </c>
      <c r="M727" s="17">
        <f>IF($C727&gt;L$703,ROUND(($C727-L$703)*M$702,2),0)</f>
        <v>0</v>
      </c>
      <c r="N727" s="17">
        <f>K727</f>
        <v>-0.04</v>
      </c>
      <c r="O727" s="43"/>
      <c r="P727" s="43"/>
      <c r="Q727" s="17">
        <f>SUM(L727:M727)</f>
        <v>45760</v>
      </c>
      <c r="R727" s="101" t="e">
        <f>ROUND(SUM(K727:M727)*(R726-1),2)</f>
        <v>#N/A</v>
      </c>
      <c r="S727" s="43">
        <f>ROUND($B727*S$702*S726,2)</f>
        <v>0</v>
      </c>
      <c r="T727" s="43">
        <f>ROUND($B727*T$702,2)</f>
        <v>0</v>
      </c>
      <c r="U727" s="43">
        <f>ROUND($B727*U$702,2)</f>
        <v>0</v>
      </c>
      <c r="V727" s="43">
        <f>ROUND($B727*V$696,2)</f>
        <v>0</v>
      </c>
      <c r="W727" s="43">
        <f>ROUND($B727*W$702,2)</f>
        <v>0</v>
      </c>
      <c r="X727" s="43">
        <f>ROUND($B727*X$702,2)</f>
        <v>0</v>
      </c>
      <c r="Y727" s="43">
        <f>ROUND($B727*Y$702,2)</f>
        <v>0</v>
      </c>
      <c r="Z727" s="43">
        <f>ROUND($B727*Z$702,2)</f>
        <v>0</v>
      </c>
      <c r="AA727" s="43">
        <f>ROUND($B727*AA$702,2)</f>
        <v>0</v>
      </c>
      <c r="AB727" s="19" t="e">
        <f>SUM(#REF!)</f>
        <v>#REF!</v>
      </c>
      <c r="AC727" s="115" t="str">
        <f>+F727</f>
        <v>HL18</v>
      </c>
    </row>
    <row r="728" spans="1:29" ht="13" x14ac:dyDescent="0.3">
      <c r="A728" s="9"/>
      <c r="B728" s="111">
        <v>-1</v>
      </c>
      <c r="D728" s="8"/>
      <c r="E728" s="9"/>
      <c r="F728" s="37"/>
      <c r="G728" s="17"/>
      <c r="H728" s="19"/>
      <c r="I728" s="12"/>
      <c r="J728" s="12"/>
      <c r="K728" s="12"/>
      <c r="L728" s="12"/>
      <c r="M728" s="12"/>
      <c r="N728" s="12"/>
      <c r="O728" s="12"/>
      <c r="P728" s="12"/>
      <c r="Q728" s="12"/>
      <c r="R728" s="39" t="e">
        <f>VLOOKUP((D729),'Pwr Factor'!$A$1:$B$52,2)</f>
        <v>#N/A</v>
      </c>
      <c r="S728" s="51">
        <v>0.5</v>
      </c>
      <c r="T728" s="12"/>
      <c r="U728" s="12"/>
      <c r="V728" s="12"/>
      <c r="W728" s="12"/>
      <c r="X728" s="12"/>
      <c r="Y728" s="12"/>
      <c r="Z728" s="12"/>
      <c r="AA728" s="12"/>
    </row>
    <row r="729" spans="1:29" ht="13" x14ac:dyDescent="0.3">
      <c r="A729" s="57" t="s">
        <v>171</v>
      </c>
      <c r="B729" s="111">
        <f>IF(AND('AES Indiana Sep 23 Bill Calc.'!$D$17="HL1",'AES Indiana Sep 23 Bill Calc.'!$D$18="Yes 50%",'AES Indiana Sep 23 Bill Calc.'!$D$20="Yes 2018"),'AES Indiana Sep 23 Bill Calc.'!$D$19,-1)</f>
        <v>-1</v>
      </c>
      <c r="C729" s="111">
        <f>MAX(E729,$C$701)</f>
        <v>2000</v>
      </c>
      <c r="D729" s="111" t="b">
        <f>IF(AND('AES Indiana Sep 23 Bill Calc.'!$D$17="HL1",'AES Indiana Sep 23 Bill Calc.'!$D$18="Yes 50%",'AES Indiana Sep 23 Bill Calc.'!$D$20="Yes 2018"),'AES Indiana Sep 23 Bill Calc.'!$D$22)</f>
        <v>0</v>
      </c>
      <c r="E729" s="111" t="b">
        <f>IF(AND('AES Indiana Sep 23 Bill Calc.'!$D$17="HL1",'AES Indiana Sep 23 Bill Calc.'!$D$18="Yes 50%",'AES Indiana Sep 23 Bill Calc.'!$D$20="Yes 2018"),'AES Indiana Sep 23 Bill Calc.'!$D$21)</f>
        <v>0</v>
      </c>
      <c r="F729" s="37" t="s">
        <v>120</v>
      </c>
      <c r="G729" s="113" t="e">
        <f>SUM(J729:M729,R729:AA729)</f>
        <v>#N/A</v>
      </c>
      <c r="H729" s="19" t="e">
        <f>IF(ISBLANK(B729),0,+#REF!/B729)</f>
        <v>#REF!</v>
      </c>
      <c r="I729" s="19"/>
      <c r="J729" s="108">
        <f>IF(ISBLANK(B729),0,+J$702)</f>
        <v>132.97999999999999</v>
      </c>
      <c r="K729" s="43">
        <f>ROUND($B729*K$702,2)</f>
        <v>-0.04</v>
      </c>
      <c r="L729" s="16">
        <f>IF(ISBLANK($C729),0,IF($C729&lt;$C$703,ROUND($C$703*$L$702,2),IF($C729&gt;L$703,ROUND(L$703*L$702,2),ROUND($C729*L$702,2))))</f>
        <v>45760</v>
      </c>
      <c r="M729" s="17">
        <f>IF($C729&gt;L$703,ROUND(($C729-L$703)*M$702,2),0)</f>
        <v>0</v>
      </c>
      <c r="N729" s="17">
        <f>K729</f>
        <v>-0.04</v>
      </c>
      <c r="O729" s="43"/>
      <c r="P729" s="43"/>
      <c r="Q729" s="17">
        <f>SUM(L729:M729)</f>
        <v>45760</v>
      </c>
      <c r="R729" s="101" t="e">
        <f>ROUND(SUM(K729:M729)*(R728-1),2)</f>
        <v>#N/A</v>
      </c>
      <c r="S729" s="43">
        <f>ROUND($B729*S$702*S728,2)</f>
        <v>0</v>
      </c>
      <c r="T729" s="43">
        <f>ROUND($B729*T$702,2)</f>
        <v>0</v>
      </c>
      <c r="U729" s="43">
        <f>ROUND($B729*U$702,2)</f>
        <v>0</v>
      </c>
      <c r="V729" s="43">
        <f>ROUND($B729*V$696,2)</f>
        <v>0</v>
      </c>
      <c r="W729" s="43">
        <f>ROUND($B729*W$702,2)</f>
        <v>0</v>
      </c>
      <c r="X729" s="43">
        <f>ROUND($B729*X$702,2)</f>
        <v>0</v>
      </c>
      <c r="Y729" s="43">
        <f>ROUND($B729*Y$702,2)</f>
        <v>0</v>
      </c>
      <c r="Z729" s="43">
        <f>ROUND($B729*Z$702,2)</f>
        <v>0</v>
      </c>
      <c r="AA729" s="43">
        <f>ROUND($B729*AA$702,2)</f>
        <v>0</v>
      </c>
      <c r="AB729" s="19" t="e">
        <f>SUM(#REF!)</f>
        <v>#REF!</v>
      </c>
      <c r="AC729" s="115" t="str">
        <f>+F729</f>
        <v>HL18</v>
      </c>
    </row>
    <row r="730" spans="1:29" ht="13" x14ac:dyDescent="0.3">
      <c r="A730" s="9"/>
      <c r="B730" s="111">
        <v>-1</v>
      </c>
      <c r="D730" s="8"/>
      <c r="E730" s="9"/>
      <c r="F730" s="37"/>
      <c r="G730" s="17"/>
      <c r="H730" s="19"/>
      <c r="I730" s="12"/>
      <c r="J730" s="12"/>
      <c r="K730" s="12"/>
      <c r="L730" s="12"/>
      <c r="M730" s="12"/>
      <c r="N730" s="12"/>
      <c r="O730" s="12"/>
      <c r="P730" s="12"/>
      <c r="Q730" s="12"/>
      <c r="R730" s="39" t="e">
        <f>VLOOKUP((D731),'Pwr Factor'!$A$1:$B$52,2)</f>
        <v>#N/A</v>
      </c>
      <c r="S730" s="51">
        <v>0.25</v>
      </c>
      <c r="T730" s="12"/>
      <c r="U730" s="12"/>
      <c r="V730" s="12"/>
      <c r="W730" s="12"/>
      <c r="X730" s="12"/>
      <c r="Y730" s="12"/>
      <c r="Z730" s="12"/>
      <c r="AA730" s="12"/>
    </row>
    <row r="731" spans="1:29" ht="13" x14ac:dyDescent="0.3">
      <c r="A731" s="57" t="s">
        <v>158</v>
      </c>
      <c r="B731" s="111">
        <f>IF(AND('AES Indiana Sep 23 Bill Calc.'!$D$17="HL1",'AES Indiana Sep 23 Bill Calc.'!$D$18="Yes 25%",'AES Indiana Sep 23 Bill Calc.'!$D$20="Yes 2018"),'AES Indiana Sep 23 Bill Calc.'!$D$19,-1)</f>
        <v>-1</v>
      </c>
      <c r="C731" s="111">
        <f>MAX(E731,$C$701)</f>
        <v>2000</v>
      </c>
      <c r="D731" s="111" t="b">
        <f>IF(AND('AES Indiana Sep 23 Bill Calc.'!$D$17="HL1",'AES Indiana Sep 23 Bill Calc.'!$D$18="Yes 25%",'AES Indiana Sep 23 Bill Calc.'!$D$20="Yes 2018"),'AES Indiana Sep 23 Bill Calc.'!$D$22)</f>
        <v>0</v>
      </c>
      <c r="E731" s="111" t="b">
        <f>IF(AND('AES Indiana Sep 23 Bill Calc.'!$D$17="HL1",'AES Indiana Sep 23 Bill Calc.'!$D$18="Yes 25%",'AES Indiana Sep 23 Bill Calc.'!$D$20="Yes 2018"),'AES Indiana Sep 23 Bill Calc.'!$D$21)</f>
        <v>0</v>
      </c>
      <c r="F731" s="37" t="s">
        <v>120</v>
      </c>
      <c r="G731" s="113" t="e">
        <f>SUM(J731:M731,R731:AA731)</f>
        <v>#N/A</v>
      </c>
      <c r="H731" s="19" t="e">
        <f>IF(ISBLANK(B731),0,+#REF!/B731)</f>
        <v>#REF!</v>
      </c>
      <c r="I731" s="19"/>
      <c r="J731" s="108">
        <f>IF(ISBLANK(B731),0,+J$702)</f>
        <v>132.97999999999999</v>
      </c>
      <c r="K731" s="43">
        <f>ROUND($B731*K$702,2)</f>
        <v>-0.04</v>
      </c>
      <c r="L731" s="16">
        <f>IF(ISBLANK($C731),0,IF($C731&lt;$C$703,ROUND($C$703*$L$702,2),IF($C731&gt;L$703,ROUND(L$703*L$702,2),ROUND($C731*L$702,2))))</f>
        <v>45760</v>
      </c>
      <c r="M731" s="17">
        <f>IF($C731&gt;L$703,ROUND(($C731-L$703)*M$702,2),0)</f>
        <v>0</v>
      </c>
      <c r="N731" s="17">
        <f>K731</f>
        <v>-0.04</v>
      </c>
      <c r="O731" s="43"/>
      <c r="P731" s="43"/>
      <c r="Q731" s="17">
        <f>SUM(L731:M731)</f>
        <v>45760</v>
      </c>
      <c r="R731" s="101" t="e">
        <f>ROUND(SUM(K731:M731)*(R730-1),2)</f>
        <v>#N/A</v>
      </c>
      <c r="S731" s="43">
        <f>ROUND($B731*S$702*S730,2)</f>
        <v>0</v>
      </c>
      <c r="T731" s="43">
        <f>ROUND($B731*T$702,2)</f>
        <v>0</v>
      </c>
      <c r="U731" s="43">
        <f>ROUND($B731*U$702,2)</f>
        <v>0</v>
      </c>
      <c r="V731" s="43">
        <f>ROUND($B731*V$696,2)</f>
        <v>0</v>
      </c>
      <c r="W731" s="43">
        <f>ROUND($B731*W$702,2)</f>
        <v>0</v>
      </c>
      <c r="X731" s="43">
        <f>ROUND($B731*X$702,2)</f>
        <v>0</v>
      </c>
      <c r="Y731" s="43">
        <f>ROUND($B731*Y$702,2)</f>
        <v>0</v>
      </c>
      <c r="Z731" s="43">
        <f>ROUND($B731*Z$702,2)</f>
        <v>0</v>
      </c>
      <c r="AA731" s="43">
        <f>ROUND($B731*AA$702,2)</f>
        <v>0</v>
      </c>
      <c r="AB731" s="19" t="e">
        <f>SUM(#REF!)</f>
        <v>#REF!</v>
      </c>
      <c r="AC731" s="115" t="str">
        <f>+F731</f>
        <v>HL18</v>
      </c>
    </row>
    <row r="732" spans="1:29" ht="13" x14ac:dyDescent="0.3">
      <c r="A732" s="9"/>
      <c r="B732" s="111">
        <v>-1</v>
      </c>
      <c r="D732" s="8"/>
      <c r="E732" s="9"/>
      <c r="F732" s="37"/>
      <c r="G732" s="17"/>
      <c r="H732" s="19"/>
      <c r="I732" s="12"/>
      <c r="J732" s="12"/>
      <c r="K732" s="12"/>
      <c r="L732" s="12"/>
      <c r="M732" s="12"/>
      <c r="N732" s="12"/>
      <c r="O732" s="12"/>
      <c r="P732" s="12"/>
      <c r="Q732" s="12"/>
      <c r="R732" s="39" t="e">
        <f>VLOOKUP((D733),'Pwr Factor'!$A$1:$B$52,2)</f>
        <v>#N/A</v>
      </c>
      <c r="S732" s="51">
        <v>0.1</v>
      </c>
      <c r="T732" s="12"/>
      <c r="U732" s="12"/>
      <c r="V732" s="12"/>
      <c r="W732" s="12"/>
      <c r="X732" s="12"/>
      <c r="Y732" s="12"/>
      <c r="Z732" s="12"/>
      <c r="AA732" s="12"/>
    </row>
    <row r="733" spans="1:29" ht="13" x14ac:dyDescent="0.3">
      <c r="A733" s="57" t="s">
        <v>173</v>
      </c>
      <c r="B733" s="111">
        <f>IF(AND('AES Indiana Sep 23 Bill Calc.'!$D$17="HL1",'AES Indiana Sep 23 Bill Calc.'!$D$18="Yes 10%",'AES Indiana Sep 23 Bill Calc.'!$D$20="Yes 2018"),'AES Indiana Sep 23 Bill Calc.'!$D$19,-1)</f>
        <v>-1</v>
      </c>
      <c r="C733" s="111">
        <f>MAX(E733,$C$701)</f>
        <v>2000</v>
      </c>
      <c r="D733" s="111" t="b">
        <f>IF(AND('AES Indiana Sep 23 Bill Calc.'!$D$17="HL1",'AES Indiana Sep 23 Bill Calc.'!$D$18="Yes 10%",'AES Indiana Sep 23 Bill Calc.'!$D$20="Yes 2018"),'AES Indiana Sep 23 Bill Calc.'!$D$22)</f>
        <v>0</v>
      </c>
      <c r="E733" s="111" t="b">
        <f>IF(AND('AES Indiana Sep 23 Bill Calc.'!$D$17="HL1",'AES Indiana Sep 23 Bill Calc.'!$D$18="Yes 10%",'AES Indiana Sep 23 Bill Calc.'!$D$20="Yes 2018"),'AES Indiana Sep 23 Bill Calc.'!$D$21)</f>
        <v>0</v>
      </c>
      <c r="F733" s="37" t="s">
        <v>120</v>
      </c>
      <c r="G733" s="113" t="e">
        <f>SUM(J733:M733,R733:AA733)</f>
        <v>#N/A</v>
      </c>
      <c r="H733" s="19" t="e">
        <f>IF(ISBLANK(B733),0,+#REF!/B733)</f>
        <v>#REF!</v>
      </c>
      <c r="I733" s="19"/>
      <c r="J733" s="108">
        <f>IF(ISBLANK(B733),0,+J$702)</f>
        <v>132.97999999999999</v>
      </c>
      <c r="K733" s="43">
        <f>ROUND($B733*K$702,2)</f>
        <v>-0.04</v>
      </c>
      <c r="L733" s="16">
        <f>IF(ISBLANK($C733),0,IF($C733&lt;$C$703,ROUND($C$703*$L$702,2),IF($C733&gt;L$703,ROUND(L$703*L$702,2),ROUND($C733*L$702,2))))</f>
        <v>45760</v>
      </c>
      <c r="M733" s="17">
        <f>IF($C733&gt;L$703,ROUND(($C733-L$703)*M$702,2),0)</f>
        <v>0</v>
      </c>
      <c r="N733" s="17">
        <f>K733</f>
        <v>-0.04</v>
      </c>
      <c r="O733" s="43"/>
      <c r="P733" s="43"/>
      <c r="Q733" s="17">
        <f>SUM(L733:M733)</f>
        <v>45760</v>
      </c>
      <c r="R733" s="101" t="e">
        <f>ROUND(SUM(K733:M733)*(R732-1),2)</f>
        <v>#N/A</v>
      </c>
      <c r="S733" s="43">
        <f>ROUND($B733*S$702*S732,2)</f>
        <v>0</v>
      </c>
      <c r="T733" s="43">
        <f>ROUND($B733*T$702,2)</f>
        <v>0</v>
      </c>
      <c r="U733" s="43">
        <f>ROUND($B733*U$702,2)</f>
        <v>0</v>
      </c>
      <c r="V733" s="43">
        <f>ROUND($B733*V$696,2)</f>
        <v>0</v>
      </c>
      <c r="W733" s="43">
        <f>ROUND($B733*W$702,2)</f>
        <v>0</v>
      </c>
      <c r="X733" s="43">
        <f>ROUND($B733*X$702,2)</f>
        <v>0</v>
      </c>
      <c r="Y733" s="43">
        <f>ROUND($B733*Y$702,2)</f>
        <v>0</v>
      </c>
      <c r="Z733" s="43">
        <f>ROUND($B733*Z$702,2)</f>
        <v>0</v>
      </c>
      <c r="AA733" s="43">
        <f>ROUND($B733*AA$702,2)</f>
        <v>0</v>
      </c>
      <c r="AB733" s="19" t="e">
        <f>SUM(#REF!)</f>
        <v>#REF!</v>
      </c>
      <c r="AC733" s="115" t="str">
        <f>+F733</f>
        <v>HL18</v>
      </c>
    </row>
    <row r="734" spans="1:29" ht="13" x14ac:dyDescent="0.3">
      <c r="A734" s="9"/>
      <c r="B734" s="111">
        <v>-1</v>
      </c>
      <c r="D734" s="8"/>
      <c r="E734" s="9"/>
      <c r="F734" s="37"/>
      <c r="G734" s="17"/>
      <c r="H734" s="19"/>
      <c r="I734" s="12"/>
      <c r="J734" s="12"/>
      <c r="K734" s="12"/>
      <c r="L734" s="12"/>
      <c r="M734" s="12"/>
      <c r="N734" s="12"/>
      <c r="O734" s="12"/>
      <c r="P734" s="12"/>
      <c r="Q734" s="12"/>
      <c r="R734" s="39" t="e">
        <f>VLOOKUP((D735),'Pwr Factor'!$A$1:$B$52,2)</f>
        <v>#N/A</v>
      </c>
      <c r="S734" s="51">
        <v>0</v>
      </c>
      <c r="T734" s="12"/>
      <c r="U734" s="12"/>
      <c r="V734" s="12"/>
      <c r="W734" s="12"/>
      <c r="X734" s="12"/>
      <c r="Y734" s="12"/>
      <c r="Z734" s="12"/>
      <c r="AA734" s="12"/>
    </row>
    <row r="735" spans="1:29" ht="13" x14ac:dyDescent="0.3">
      <c r="A735" s="57" t="s">
        <v>172</v>
      </c>
      <c r="B735" s="111">
        <f>IF(AND('AES Indiana Sep 23 Bill Calc.'!$D$17="HL1",'AES Indiana Sep 23 Bill Calc.'!$D$18="No",'AES Indiana Sep 23 Bill Calc.'!$D$20="Yes 2018"),'AES Indiana Sep 23 Bill Calc.'!$D$19,-1)</f>
        <v>-1</v>
      </c>
      <c r="C735" s="111">
        <f>MAX(E735,$C$701)</f>
        <v>2000</v>
      </c>
      <c r="D735" s="111" t="b">
        <f>IF(AND('AES Indiana Sep 23 Bill Calc.'!$D$17="HL1",'AES Indiana Sep 23 Bill Calc.'!$D$18="No",'AES Indiana Sep 23 Bill Calc.'!$D$20="Yes 2018"),'AES Indiana Sep 23 Bill Calc.'!$D$22)</f>
        <v>0</v>
      </c>
      <c r="E735" s="111" t="b">
        <f>IF(AND('AES Indiana Sep 23 Bill Calc.'!$D$17="HL1",'AES Indiana Sep 23 Bill Calc.'!$D$18="No",'AES Indiana Sep 23 Bill Calc.'!$D$20="Yes 2018"),'AES Indiana Sep 23 Bill Calc.'!$D$21)</f>
        <v>0</v>
      </c>
      <c r="F735" s="37" t="s">
        <v>120</v>
      </c>
      <c r="G735" s="113" t="e">
        <f>SUM(J735:M735,R735:AA735)</f>
        <v>#N/A</v>
      </c>
      <c r="H735" s="19" t="e">
        <f>IF(ISBLANK(B735),0,+#REF!/B735)</f>
        <v>#REF!</v>
      </c>
      <c r="I735" s="19"/>
      <c r="J735" s="108">
        <f>IF(ISBLANK(B735),0,+J$702)</f>
        <v>132.97999999999999</v>
      </c>
      <c r="K735" s="43">
        <f>ROUND($B735*K$702,2)</f>
        <v>-0.04</v>
      </c>
      <c r="L735" s="16">
        <f>IF(ISBLANK($C735),0,IF($C735&lt;$C$703,ROUND($C$703*$L$702,2),IF($C735&gt;L$703,ROUND(L$703*L$702,2),ROUND($C735*L$702,2))))</f>
        <v>45760</v>
      </c>
      <c r="M735" s="17">
        <f>IF($C735&gt;L$703,ROUND(($C735-L$703)*M$702,2),0)</f>
        <v>0</v>
      </c>
      <c r="N735" s="17">
        <f>K735</f>
        <v>-0.04</v>
      </c>
      <c r="O735" s="43"/>
      <c r="P735" s="43"/>
      <c r="Q735" s="17">
        <f>SUM(L735:M735)</f>
        <v>45760</v>
      </c>
      <c r="R735" s="101" t="e">
        <f>ROUND(SUM(K735:M735)*(R734-1),2)</f>
        <v>#N/A</v>
      </c>
      <c r="S735" s="43">
        <f>ROUND($B735*S$702*S734,2)</f>
        <v>0</v>
      </c>
      <c r="T735" s="43">
        <f>ROUND($B735*T$702,2)</f>
        <v>0</v>
      </c>
      <c r="U735" s="43">
        <f>ROUND($B735*U$702,2)</f>
        <v>0</v>
      </c>
      <c r="V735" s="43">
        <f>ROUND($B735*V$696,2)</f>
        <v>0</v>
      </c>
      <c r="W735" s="43">
        <f>ROUND($B735*W$702,2)</f>
        <v>0</v>
      </c>
      <c r="X735" s="43">
        <f>ROUND($B735*X$702,2)</f>
        <v>0</v>
      </c>
      <c r="Y735" s="43">
        <f>ROUND($B735*Y$702,2)</f>
        <v>0</v>
      </c>
      <c r="Z735" s="43">
        <f>ROUND($B735*Z$702,2)</f>
        <v>0</v>
      </c>
      <c r="AA735" s="43">
        <f>ROUND($B735*AA$702,2)</f>
        <v>0</v>
      </c>
      <c r="AB735" s="19" t="e">
        <f>SUM(#REF!)</f>
        <v>#REF!</v>
      </c>
      <c r="AC735" s="115" t="str">
        <f>+F735</f>
        <v>HL18</v>
      </c>
    </row>
    <row r="736" spans="1:29" ht="13" x14ac:dyDescent="0.3">
      <c r="B736" s="111">
        <v>-1</v>
      </c>
      <c r="D736" s="8"/>
      <c r="E736" s="9"/>
      <c r="F736" s="37"/>
      <c r="G736" s="17"/>
      <c r="H736" s="19"/>
      <c r="I736" s="12"/>
      <c r="J736" s="12"/>
      <c r="K736" s="12"/>
      <c r="L736" s="12"/>
      <c r="M736" s="12"/>
      <c r="N736" s="12"/>
      <c r="O736" s="12"/>
      <c r="P736" s="12"/>
      <c r="Q736" s="12"/>
      <c r="R736" s="39" t="e">
        <f>VLOOKUP((D737),'Pwr Factor'!$A$1:$B$52,2)</f>
        <v>#N/A</v>
      </c>
      <c r="S736" s="51">
        <v>1</v>
      </c>
      <c r="T736" s="12"/>
      <c r="U736" s="12"/>
      <c r="V736" s="12"/>
      <c r="W736" s="12"/>
      <c r="X736" s="12"/>
      <c r="Y736" s="12"/>
      <c r="Z736" s="12"/>
      <c r="AA736" s="12"/>
    </row>
    <row r="737" spans="1:238" s="21" customFormat="1" ht="13.5" thickBot="1" x14ac:dyDescent="0.35">
      <c r="A737" s="1" t="s">
        <v>73</v>
      </c>
      <c r="B737" s="111">
        <f>IF(AND('AES Indiana Sep 23 Bill Calc.'!$D$17="HL1",'AES Indiana Sep 23 Bill Calc.'!$D$18="Yes 100%",'AES Indiana Sep 23 Bill Calc.'!$D$20="Yes 2019"),'AES Indiana Sep 23 Bill Calc.'!$D$19,-1)</f>
        <v>-1</v>
      </c>
      <c r="C737" s="111">
        <f>MAX(E737,$C$701)</f>
        <v>2000</v>
      </c>
      <c r="D737" s="111" t="b">
        <f>IF(AND('AES Indiana Sep 23 Bill Calc.'!$D$17="HL1",'AES Indiana Sep 23 Bill Calc.'!$D$18="Yes 100%",'AES Indiana Sep 23 Bill Calc.'!$D$20="Yes 2019"),'AES Indiana Sep 23 Bill Calc.'!$D$22)</f>
        <v>0</v>
      </c>
      <c r="E737" s="111" t="b">
        <f>IF(AND('AES Indiana Sep 23 Bill Calc.'!$D$17="HL1",'AES Indiana Sep 23 Bill Calc.'!$D$18="Yes 100%",'AES Indiana Sep 23 Bill Calc.'!$D$20="Yes 2019"),'AES Indiana Sep 23 Bill Calc.'!$D$21)</f>
        <v>0</v>
      </c>
      <c r="F737" s="37" t="s">
        <v>151</v>
      </c>
      <c r="G737" s="113" t="e">
        <f>SUM(J737:M737,R737:AA737)</f>
        <v>#N/A</v>
      </c>
      <c r="H737" s="19" t="e">
        <f>IF(ISBLANK(B737),0,+#REF!/B737)</f>
        <v>#REF!</v>
      </c>
      <c r="I737" s="19"/>
      <c r="J737" s="108">
        <f>IF(ISBLANK(B737),0,+J$702)</f>
        <v>132.97999999999999</v>
      </c>
      <c r="K737" s="43">
        <f>ROUND($B737*K$702,2)</f>
        <v>-0.04</v>
      </c>
      <c r="L737" s="16">
        <f>IF(ISBLANK($C737),0,IF($C737&lt;$C$703,ROUND($C$703*$L$702,2),IF($C737&gt;L$703,ROUND(L$703*L$702,2),ROUND($C737*L$702,2))))</f>
        <v>45760</v>
      </c>
      <c r="M737" s="17">
        <f>IF($C737&gt;L$703,ROUND(($C737-L$703)*M$702,2),0)</f>
        <v>0</v>
      </c>
      <c r="N737" s="17">
        <f>K737</f>
        <v>-0.04</v>
      </c>
      <c r="O737" s="43"/>
      <c r="P737" s="43"/>
      <c r="Q737" s="17">
        <f>SUM(L737:M737)</f>
        <v>45760</v>
      </c>
      <c r="R737" s="101" t="e">
        <f>ROUND(SUM(K737:M737)*(R736-1),2)</f>
        <v>#N/A</v>
      </c>
      <c r="S737" s="43">
        <f>ROUND($B737*S$702*S736,2)</f>
        <v>0</v>
      </c>
      <c r="T737" s="43">
        <f>ROUND($B737*T$702,2)</f>
        <v>0</v>
      </c>
      <c r="U737" s="43">
        <f>ROUND($B737*U$702,2)</f>
        <v>0</v>
      </c>
      <c r="V737" s="43">
        <f>ROUND($B737*V$697,2)</f>
        <v>0</v>
      </c>
      <c r="W737" s="43">
        <f>ROUND($B737*W$702,2)</f>
        <v>0</v>
      </c>
      <c r="X737" s="43">
        <f>ROUND($B737*X$702,2)</f>
        <v>0</v>
      </c>
      <c r="Y737" s="43">
        <f>ROUND($B737*Y$702,2)</f>
        <v>0</v>
      </c>
      <c r="Z737" s="43">
        <f>ROUND($B737*Z$702,2)</f>
        <v>0</v>
      </c>
      <c r="AA737" s="43">
        <f>ROUND($B737*AA$702,2)</f>
        <v>0</v>
      </c>
      <c r="AB737" s="19" t="e">
        <f>SUM(#REF!)</f>
        <v>#REF!</v>
      </c>
      <c r="AC737" s="115" t="str">
        <f>+F737</f>
        <v>HL19</v>
      </c>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row>
    <row r="738" spans="1:238" ht="13" x14ac:dyDescent="0.3">
      <c r="A738" s="9"/>
      <c r="B738" s="111">
        <v>-1</v>
      </c>
      <c r="D738" s="8"/>
      <c r="E738" s="9"/>
      <c r="F738" s="37"/>
      <c r="G738" s="17"/>
      <c r="H738" s="19"/>
      <c r="I738" s="12"/>
      <c r="J738" s="12"/>
      <c r="K738" s="12"/>
      <c r="L738" s="12"/>
      <c r="M738" s="12"/>
      <c r="N738" s="12"/>
      <c r="O738" s="12"/>
      <c r="P738" s="12"/>
      <c r="Q738" s="12"/>
      <c r="R738" s="39" t="e">
        <f>VLOOKUP((D739),'Pwr Factor'!$A$1:$B$52,2)</f>
        <v>#N/A</v>
      </c>
      <c r="S738" s="51">
        <v>0.5</v>
      </c>
      <c r="T738" s="12"/>
      <c r="U738" s="12"/>
      <c r="V738" s="12"/>
      <c r="W738" s="12"/>
      <c r="X738" s="12"/>
      <c r="Y738" s="12"/>
      <c r="Z738" s="12"/>
      <c r="AA738" s="12"/>
    </row>
    <row r="739" spans="1:238" ht="13" x14ac:dyDescent="0.3">
      <c r="A739" s="57" t="s">
        <v>171</v>
      </c>
      <c r="B739" s="111">
        <f>IF(AND('AES Indiana Sep 23 Bill Calc.'!$D$17="HL1",'AES Indiana Sep 23 Bill Calc.'!$D$18="Yes 50%",'AES Indiana Sep 23 Bill Calc.'!$D$20="Yes 2019"),'AES Indiana Sep 23 Bill Calc.'!$D$19,-1)</f>
        <v>-1</v>
      </c>
      <c r="C739" s="111">
        <f>MAX(E739,$C$701)</f>
        <v>2000</v>
      </c>
      <c r="D739" s="111" t="b">
        <f>IF(AND('AES Indiana Sep 23 Bill Calc.'!$D$17="HL1",'AES Indiana Sep 23 Bill Calc.'!$D$18="Yes 50%",'AES Indiana Sep 23 Bill Calc.'!$D$20="Yes 2019"),'AES Indiana Sep 23 Bill Calc.'!$D$22)</f>
        <v>0</v>
      </c>
      <c r="E739" s="111" t="b">
        <f>IF(AND('AES Indiana Sep 23 Bill Calc.'!$D$17="HL1",'AES Indiana Sep 23 Bill Calc.'!$D$18="Yes 50%",'AES Indiana Sep 23 Bill Calc.'!$D$20="Yes 2019"),'AES Indiana Sep 23 Bill Calc.'!$D$21)</f>
        <v>0</v>
      </c>
      <c r="F739" s="37" t="s">
        <v>151</v>
      </c>
      <c r="G739" s="113" t="e">
        <f>SUM(J739:M739,R739:AA739)</f>
        <v>#N/A</v>
      </c>
      <c r="H739" s="19" t="e">
        <f>IF(ISBLANK(B739),0,+#REF!/B739)</f>
        <v>#REF!</v>
      </c>
      <c r="I739" s="19"/>
      <c r="J739" s="108">
        <f>IF(ISBLANK(B739),0,+J$702)</f>
        <v>132.97999999999999</v>
      </c>
      <c r="K739" s="43">
        <f>ROUND($B739*K$702,2)</f>
        <v>-0.04</v>
      </c>
      <c r="L739" s="16">
        <f>IF(ISBLANK($C739),0,IF($C739&lt;$C$703,ROUND($C$703*$L$702,2),IF($C739&gt;L$703,ROUND(L$703*L$702,2),ROUND($C739*L$702,2))))</f>
        <v>45760</v>
      </c>
      <c r="M739" s="17">
        <f>IF($C739&gt;L$703,ROUND(($C739-L$703)*M$702,2),0)</f>
        <v>0</v>
      </c>
      <c r="N739" s="17">
        <f>K739</f>
        <v>-0.04</v>
      </c>
      <c r="O739" s="43"/>
      <c r="P739" s="43"/>
      <c r="Q739" s="17">
        <f>SUM(L739:M739)</f>
        <v>45760</v>
      </c>
      <c r="R739" s="101" t="e">
        <f>ROUND(SUM(K739:M739)*(R738-1),2)</f>
        <v>#N/A</v>
      </c>
      <c r="S739" s="43">
        <f>ROUND($B739*S$702*S738,2)</f>
        <v>0</v>
      </c>
      <c r="T739" s="43">
        <f>ROUND($B739*T$702,2)</f>
        <v>0</v>
      </c>
      <c r="U739" s="43">
        <f>ROUND($B739*U$702,2)</f>
        <v>0</v>
      </c>
      <c r="V739" s="43">
        <f>ROUND($B739*V$697,2)</f>
        <v>0</v>
      </c>
      <c r="W739" s="43">
        <f>ROUND($B739*W$702,2)</f>
        <v>0</v>
      </c>
      <c r="X739" s="43">
        <f>ROUND($B739*X$702,2)</f>
        <v>0</v>
      </c>
      <c r="Y739" s="43">
        <f>ROUND($B739*Y$702,2)</f>
        <v>0</v>
      </c>
      <c r="Z739" s="43">
        <f>ROUND($B739*Z$702,2)</f>
        <v>0</v>
      </c>
      <c r="AA739" s="43">
        <f>ROUND($B739*AA$702,2)</f>
        <v>0</v>
      </c>
      <c r="AB739" s="19" t="e">
        <f>SUM(#REF!)</f>
        <v>#REF!</v>
      </c>
      <c r="AC739" s="115" t="str">
        <f>+F739</f>
        <v>HL19</v>
      </c>
    </row>
    <row r="740" spans="1:238" ht="13" x14ac:dyDescent="0.3">
      <c r="A740" s="9"/>
      <c r="B740" s="111">
        <v>-1</v>
      </c>
      <c r="D740" s="8"/>
      <c r="E740" s="9"/>
      <c r="F740" s="37"/>
      <c r="G740" s="17"/>
      <c r="H740" s="19"/>
      <c r="I740" s="12"/>
      <c r="J740" s="12"/>
      <c r="K740" s="12"/>
      <c r="L740" s="12"/>
      <c r="M740" s="12"/>
      <c r="N740" s="12"/>
      <c r="O740" s="12"/>
      <c r="P740" s="12"/>
      <c r="Q740" s="12"/>
      <c r="R740" s="39" t="e">
        <f>VLOOKUP((D741),'Pwr Factor'!$A$1:$B$52,2)</f>
        <v>#N/A</v>
      </c>
      <c r="S740" s="51">
        <v>0.25</v>
      </c>
      <c r="T740" s="12"/>
      <c r="U740" s="12"/>
      <c r="V740" s="12"/>
      <c r="W740" s="12"/>
      <c r="X740" s="12"/>
      <c r="Y740" s="12"/>
      <c r="Z740" s="12"/>
      <c r="AA740" s="12"/>
    </row>
    <row r="741" spans="1:238" ht="13" x14ac:dyDescent="0.3">
      <c r="A741" s="57" t="s">
        <v>158</v>
      </c>
      <c r="B741" s="111">
        <f>IF(AND('AES Indiana Sep 23 Bill Calc.'!$D$17="HL1",'AES Indiana Sep 23 Bill Calc.'!$D$18="Yes 25%",'AES Indiana Sep 23 Bill Calc.'!$D$20="Yes 2019"),'AES Indiana Sep 23 Bill Calc.'!$D$19,-1)</f>
        <v>-1</v>
      </c>
      <c r="C741" s="111">
        <f>MAX(E741,$C$701)</f>
        <v>2000</v>
      </c>
      <c r="D741" s="111" t="b">
        <f>IF(AND('AES Indiana Sep 23 Bill Calc.'!$D$17="HL1",'AES Indiana Sep 23 Bill Calc.'!$D$18="Yes 25%",'AES Indiana Sep 23 Bill Calc.'!$D$20="Yes 2019"),'AES Indiana Sep 23 Bill Calc.'!$D$22)</f>
        <v>0</v>
      </c>
      <c r="E741" s="111" t="b">
        <f>IF(AND('AES Indiana Sep 23 Bill Calc.'!$D$17="HL1",'AES Indiana Sep 23 Bill Calc.'!$D$18="Yes 25%",'AES Indiana Sep 23 Bill Calc.'!$D$20="Yes 2019"),'AES Indiana Sep 23 Bill Calc.'!$D$21)</f>
        <v>0</v>
      </c>
      <c r="F741" s="37" t="s">
        <v>151</v>
      </c>
      <c r="G741" s="113" t="e">
        <f>SUM(J741:M741,R741:AA741)</f>
        <v>#N/A</v>
      </c>
      <c r="H741" s="19" t="e">
        <f>IF(ISBLANK(B741),0,+#REF!/B741)</f>
        <v>#REF!</v>
      </c>
      <c r="I741" s="19"/>
      <c r="J741" s="108">
        <f>IF(ISBLANK(B741),0,+J$702)</f>
        <v>132.97999999999999</v>
      </c>
      <c r="K741" s="43">
        <f>ROUND($B741*K$702,2)</f>
        <v>-0.04</v>
      </c>
      <c r="L741" s="16">
        <f>IF(ISBLANK($C741),0,IF($C741&lt;$C$703,ROUND($C$703*$L$702,2),IF($C741&gt;L$703,ROUND(L$703*L$702,2),ROUND($C741*L$702,2))))</f>
        <v>45760</v>
      </c>
      <c r="M741" s="17">
        <f>IF($C741&gt;L$703,ROUND(($C741-L$703)*M$702,2),0)</f>
        <v>0</v>
      </c>
      <c r="N741" s="17">
        <f>K741</f>
        <v>-0.04</v>
      </c>
      <c r="O741" s="43"/>
      <c r="P741" s="43"/>
      <c r="Q741" s="17">
        <f>SUM(L741:M741)</f>
        <v>45760</v>
      </c>
      <c r="R741" s="101" t="e">
        <f>ROUND(SUM(K741:M741)*(R740-1),2)</f>
        <v>#N/A</v>
      </c>
      <c r="S741" s="43">
        <f>ROUND($B741*S$702*S740,2)</f>
        <v>0</v>
      </c>
      <c r="T741" s="43">
        <f>ROUND($B741*T$702,2)</f>
        <v>0</v>
      </c>
      <c r="U741" s="43">
        <f>ROUND($B741*U$702,2)</f>
        <v>0</v>
      </c>
      <c r="V741" s="43">
        <f>ROUND($B741*V$697,2)</f>
        <v>0</v>
      </c>
      <c r="W741" s="43">
        <f>ROUND($B741*W$702,2)</f>
        <v>0</v>
      </c>
      <c r="X741" s="43">
        <f>ROUND($B741*X$702,2)</f>
        <v>0</v>
      </c>
      <c r="Y741" s="43">
        <f>ROUND($B741*Y$702,2)</f>
        <v>0</v>
      </c>
      <c r="Z741" s="43">
        <f>ROUND($B741*Z$702,2)</f>
        <v>0</v>
      </c>
      <c r="AA741" s="43">
        <f>ROUND($B741*AA$702,2)</f>
        <v>0</v>
      </c>
      <c r="AB741" s="19" t="e">
        <f>SUM(#REF!)</f>
        <v>#REF!</v>
      </c>
      <c r="AC741" s="115" t="str">
        <f>+F741</f>
        <v>HL19</v>
      </c>
    </row>
    <row r="742" spans="1:238" ht="13" x14ac:dyDescent="0.3">
      <c r="A742" s="9"/>
      <c r="B742" s="111">
        <v>-1</v>
      </c>
      <c r="D742" s="8"/>
      <c r="E742" s="9"/>
      <c r="F742" s="37"/>
      <c r="G742" s="17"/>
      <c r="H742" s="19"/>
      <c r="I742" s="12"/>
      <c r="J742" s="12"/>
      <c r="K742" s="12"/>
      <c r="L742" s="12"/>
      <c r="M742" s="12"/>
      <c r="N742" s="12"/>
      <c r="O742" s="12"/>
      <c r="P742" s="12"/>
      <c r="Q742" s="12"/>
      <c r="R742" s="39" t="e">
        <f>VLOOKUP((D743),'Pwr Factor'!$A$1:$B$52,2)</f>
        <v>#N/A</v>
      </c>
      <c r="S742" s="51">
        <v>0.1</v>
      </c>
      <c r="T742" s="12"/>
      <c r="U742" s="12"/>
      <c r="V742" s="12"/>
      <c r="W742" s="12"/>
      <c r="X742" s="12"/>
      <c r="Y742" s="12"/>
      <c r="Z742" s="12"/>
      <c r="AA742" s="12"/>
    </row>
    <row r="743" spans="1:238" ht="13" x14ac:dyDescent="0.3">
      <c r="A743" s="57" t="s">
        <v>173</v>
      </c>
      <c r="B743" s="111">
        <f>IF(AND('AES Indiana Sep 23 Bill Calc.'!$D$17="HL1",'AES Indiana Sep 23 Bill Calc.'!$D$18="Yes 10%",'AES Indiana Sep 23 Bill Calc.'!$D$20="Yes 2019"),'AES Indiana Sep 23 Bill Calc.'!$D$19,-1)</f>
        <v>-1</v>
      </c>
      <c r="C743" s="111">
        <f>MAX(E743,$C$701)</f>
        <v>2000</v>
      </c>
      <c r="D743" s="111" t="b">
        <f>IF(AND('AES Indiana Sep 23 Bill Calc.'!$D$17="HL1",'AES Indiana Sep 23 Bill Calc.'!$D$18="Yes 10%",'AES Indiana Sep 23 Bill Calc.'!$D$20="Yes 2019"),'AES Indiana Sep 23 Bill Calc.'!$D$22)</f>
        <v>0</v>
      </c>
      <c r="E743" s="111" t="b">
        <f>IF(AND('AES Indiana Sep 23 Bill Calc.'!$D$17="HL1",'AES Indiana Sep 23 Bill Calc.'!$D$18="Yes 10%",'AES Indiana Sep 23 Bill Calc.'!$D$20="Yes 2019"),'AES Indiana Sep 23 Bill Calc.'!$D$21)</f>
        <v>0</v>
      </c>
      <c r="F743" s="37" t="s">
        <v>151</v>
      </c>
      <c r="G743" s="113" t="e">
        <f>SUM(J743:M743,R743:AA743)</f>
        <v>#N/A</v>
      </c>
      <c r="H743" s="19" t="e">
        <f>IF(ISBLANK(B743),0,+#REF!/B743)</f>
        <v>#REF!</v>
      </c>
      <c r="I743" s="19"/>
      <c r="J743" s="108">
        <f>IF(ISBLANK(B743),0,+J$702)</f>
        <v>132.97999999999999</v>
      </c>
      <c r="K743" s="43">
        <f>ROUND($B743*K$702,2)</f>
        <v>-0.04</v>
      </c>
      <c r="L743" s="16">
        <f>IF(ISBLANK($C743),0,IF($C743&lt;$C$703,ROUND($C$703*$L$702,2),IF($C743&gt;L$703,ROUND(L$703*L$702,2),ROUND($C743*L$702,2))))</f>
        <v>45760</v>
      </c>
      <c r="M743" s="17">
        <f>IF($C743&gt;L$703,ROUND(($C743-L$703)*M$702,2),0)</f>
        <v>0</v>
      </c>
      <c r="N743" s="17">
        <f>K743</f>
        <v>-0.04</v>
      </c>
      <c r="O743" s="43"/>
      <c r="P743" s="43"/>
      <c r="Q743" s="17">
        <f>SUM(L743:M743)</f>
        <v>45760</v>
      </c>
      <c r="R743" s="101" t="e">
        <f>ROUND(SUM(K743:M743)*(R742-1),2)</f>
        <v>#N/A</v>
      </c>
      <c r="S743" s="43">
        <f>ROUND($B743*S$702*S742,2)</f>
        <v>0</v>
      </c>
      <c r="T743" s="43">
        <f>ROUND($B743*T$702,2)</f>
        <v>0</v>
      </c>
      <c r="U743" s="43">
        <f>ROUND($B743*U$702,2)</f>
        <v>0</v>
      </c>
      <c r="V743" s="43">
        <f>ROUND($B743*V$697,2)</f>
        <v>0</v>
      </c>
      <c r="W743" s="43">
        <f>ROUND($B743*W$702,2)</f>
        <v>0</v>
      </c>
      <c r="X743" s="43">
        <f>ROUND($B743*X$702,2)</f>
        <v>0</v>
      </c>
      <c r="Y743" s="43">
        <f>ROUND($B743*Y$702,2)</f>
        <v>0</v>
      </c>
      <c r="Z743" s="43">
        <f>ROUND($B743*Z$702,2)</f>
        <v>0</v>
      </c>
      <c r="AA743" s="43">
        <f>ROUND($B743*AA$702,2)</f>
        <v>0</v>
      </c>
      <c r="AB743" s="19" t="e">
        <f>SUM(#REF!)</f>
        <v>#REF!</v>
      </c>
      <c r="AC743" s="115" t="str">
        <f>+F743</f>
        <v>HL19</v>
      </c>
    </row>
    <row r="744" spans="1:238" ht="13" x14ac:dyDescent="0.3">
      <c r="A744" s="9"/>
      <c r="B744" s="111">
        <v>-1</v>
      </c>
      <c r="D744" s="8"/>
      <c r="E744" s="9"/>
      <c r="F744" s="37"/>
      <c r="G744" s="17"/>
      <c r="H744" s="19"/>
      <c r="I744" s="12"/>
      <c r="J744" s="12"/>
      <c r="K744" s="12"/>
      <c r="L744" s="12"/>
      <c r="M744" s="12"/>
      <c r="N744" s="12"/>
      <c r="O744" s="12"/>
      <c r="P744" s="12"/>
      <c r="Q744" s="12"/>
      <c r="R744" s="39" t="e">
        <f>VLOOKUP((D745),'Pwr Factor'!$A$1:$B$52,2)</f>
        <v>#N/A</v>
      </c>
      <c r="S744" s="51">
        <v>0</v>
      </c>
      <c r="T744" s="12"/>
      <c r="U744" s="12"/>
      <c r="V744" s="12"/>
      <c r="W744" s="12"/>
      <c r="X744" s="12"/>
      <c r="Y744" s="12"/>
      <c r="Z744" s="12"/>
      <c r="AA744" s="12"/>
    </row>
    <row r="745" spans="1:238" ht="13" x14ac:dyDescent="0.3">
      <c r="A745" s="57" t="s">
        <v>172</v>
      </c>
      <c r="B745" s="111">
        <f>IF(AND('AES Indiana Sep 23 Bill Calc.'!$D$17="HL1",'AES Indiana Sep 23 Bill Calc.'!$D$18="No",'AES Indiana Sep 23 Bill Calc.'!$D$20="Yes 2019"),'AES Indiana Sep 23 Bill Calc.'!$D$19,-1)</f>
        <v>-1</v>
      </c>
      <c r="C745" s="111">
        <f>MAX(E745,$C$701)</f>
        <v>2000</v>
      </c>
      <c r="D745" s="111" t="b">
        <f>IF(AND('AES Indiana Sep 23 Bill Calc.'!$D$17="HL1",'AES Indiana Sep 23 Bill Calc.'!$D$18="No",'AES Indiana Sep 23 Bill Calc.'!$D$20="Yes 2019"),'AES Indiana Sep 23 Bill Calc.'!$D$22)</f>
        <v>0</v>
      </c>
      <c r="E745" s="111" t="b">
        <f>IF(AND('AES Indiana Sep 23 Bill Calc.'!$D$17="HL1",'AES Indiana Sep 23 Bill Calc.'!$D$18="No",'AES Indiana Sep 23 Bill Calc.'!$D$20="Yes 2019"),'AES Indiana Sep 23 Bill Calc.'!$D$21)</f>
        <v>0</v>
      </c>
      <c r="F745" s="37" t="s">
        <v>151</v>
      </c>
      <c r="G745" s="113" t="e">
        <f>SUM(J745:M745,R745:AA745)</f>
        <v>#N/A</v>
      </c>
      <c r="H745" s="19" t="e">
        <f>IF(ISBLANK(B745),0,+#REF!/B745)</f>
        <v>#REF!</v>
      </c>
      <c r="I745" s="19"/>
      <c r="J745" s="108">
        <f>IF(ISBLANK(B745),0,+J$702)</f>
        <v>132.97999999999999</v>
      </c>
      <c r="K745" s="43">
        <f>ROUND($B745*K$702,2)</f>
        <v>-0.04</v>
      </c>
      <c r="L745" s="16">
        <f>IF(ISBLANK($C745),0,IF($C745&lt;$C$703,ROUND($C$703*$L$702,2),IF($C745&gt;L$703,ROUND(L$703*L$702,2),ROUND($C745*L$702,2))))</f>
        <v>45760</v>
      </c>
      <c r="M745" s="17">
        <f>IF($C745&gt;L$703,ROUND(($C745-L$703)*M$702,2),0)</f>
        <v>0</v>
      </c>
      <c r="N745" s="17">
        <f>K745</f>
        <v>-0.04</v>
      </c>
      <c r="O745" s="43"/>
      <c r="P745" s="43"/>
      <c r="Q745" s="17">
        <f>SUM(L745:M745)</f>
        <v>45760</v>
      </c>
      <c r="R745" s="101" t="e">
        <f>ROUND(SUM(K745:M745)*(R744-1),2)</f>
        <v>#N/A</v>
      </c>
      <c r="S745" s="43">
        <f>ROUND($B745*S$702*S744,2)</f>
        <v>0</v>
      </c>
      <c r="T745" s="43">
        <f>ROUND($B745*T$702,2)</f>
        <v>0</v>
      </c>
      <c r="U745" s="43">
        <f>ROUND($B745*U$702,2)</f>
        <v>0</v>
      </c>
      <c r="V745" s="43">
        <f>ROUND($B745*V$697,2)</f>
        <v>0</v>
      </c>
      <c r="W745" s="43">
        <f>ROUND($B745*W$702,2)</f>
        <v>0</v>
      </c>
      <c r="X745" s="43">
        <f>ROUND($B745*X$702,2)</f>
        <v>0</v>
      </c>
      <c r="Y745" s="43">
        <f>ROUND($B745*Y$702,2)</f>
        <v>0</v>
      </c>
      <c r="Z745" s="43">
        <f>ROUND($B745*Z$702,2)</f>
        <v>0</v>
      </c>
      <c r="AA745" s="43">
        <f>ROUND($B745*AA$702,2)</f>
        <v>0</v>
      </c>
      <c r="AB745" s="19" t="e">
        <f>SUM(#REF!)</f>
        <v>#REF!</v>
      </c>
      <c r="AC745" s="115" t="str">
        <f>+F745</f>
        <v>HL19</v>
      </c>
    </row>
    <row r="746" spans="1:238" ht="13" x14ac:dyDescent="0.3">
      <c r="A746" s="56"/>
      <c r="B746" s="128">
        <v>-1</v>
      </c>
      <c r="D746" s="42"/>
      <c r="E746" s="96"/>
      <c r="F746" s="37"/>
      <c r="G746" s="120"/>
      <c r="H746" s="19"/>
      <c r="I746" s="19"/>
      <c r="J746" s="108"/>
      <c r="K746" s="43"/>
      <c r="L746" s="101"/>
      <c r="M746" s="43"/>
      <c r="N746" s="43"/>
      <c r="O746" s="43"/>
      <c r="P746" s="43"/>
      <c r="Q746" s="43"/>
      <c r="R746" s="39" t="e">
        <f>VLOOKUP((D747),'Pwr Factor'!$A$1:$B$52,2)</f>
        <v>#N/A</v>
      </c>
      <c r="S746" s="51">
        <v>1</v>
      </c>
      <c r="T746" s="43"/>
      <c r="U746" s="43"/>
      <c r="V746" s="43"/>
      <c r="W746" s="43"/>
      <c r="X746" s="43"/>
      <c r="Y746" s="43"/>
      <c r="Z746" s="43"/>
      <c r="AA746" s="43"/>
      <c r="AB746" s="19"/>
      <c r="AC746" s="115"/>
    </row>
    <row r="747" spans="1:238" ht="13" x14ac:dyDescent="0.3">
      <c r="A747" s="1" t="s">
        <v>73</v>
      </c>
      <c r="B747" s="111">
        <f>IF(AND('AES Indiana Sep 23 Bill Calc.'!$D$17="HL1",'AES Indiana Sep 23 Bill Calc.'!$D$18="Yes 100%",'AES Indiana Sep 23 Bill Calc.'!$D$20="Yes 2020"),'AES Indiana Sep 23 Bill Calc.'!$D$19,-1)</f>
        <v>-1</v>
      </c>
      <c r="C747" s="111">
        <f>MAX(E747,$C$701)</f>
        <v>2000</v>
      </c>
      <c r="D747" s="111" t="b">
        <f>IF(AND('AES Indiana Sep 23 Bill Calc.'!$D$17="HL1",'AES Indiana Sep 23 Bill Calc.'!$D$18="Yes 100%",'AES Indiana Sep 23 Bill Calc.'!$D$20="Yes 2020"),'AES Indiana Sep 23 Bill Calc.'!$D$22)</f>
        <v>0</v>
      </c>
      <c r="E747" s="111" t="b">
        <f>IF(AND('AES Indiana Sep 23 Bill Calc.'!$D$17="HL1",'AES Indiana Sep 23 Bill Calc.'!$D$18="Yes 100%",'AES Indiana Sep 23 Bill Calc.'!$D$20="Yes 2020"),'AES Indiana Sep 23 Bill Calc.'!$D$21)</f>
        <v>0</v>
      </c>
      <c r="F747" s="37" t="s">
        <v>152</v>
      </c>
      <c r="G747" s="113" t="e">
        <f>SUM(J747:M747,R747:AA747)</f>
        <v>#N/A</v>
      </c>
      <c r="H747" s="19" t="e">
        <f>IF(ISBLANK(B747),0,+#REF!/B747)</f>
        <v>#REF!</v>
      </c>
      <c r="I747" s="19"/>
      <c r="J747" s="108">
        <f>IF(ISBLANK(B747),0,+J$702)</f>
        <v>132.97999999999999</v>
      </c>
      <c r="K747" s="43">
        <f>ROUND($B747*K$702,2)</f>
        <v>-0.04</v>
      </c>
      <c r="L747" s="16">
        <f>IF(ISBLANK($C747),0,IF($C747&lt;$C$703,ROUND($C$703*$L$702,2),IF($C747&gt;L$703,ROUND(L$703*L$702,2),ROUND($C747*L$702,2))))</f>
        <v>45760</v>
      </c>
      <c r="M747" s="17">
        <f>IF($C747&gt;L$703,ROUND(($C747-L$703)*M$702,2),0)</f>
        <v>0</v>
      </c>
      <c r="N747" s="17">
        <f>K747</f>
        <v>-0.04</v>
      </c>
      <c r="O747" s="43"/>
      <c r="P747" s="43"/>
      <c r="Q747" s="17">
        <f>SUM(L747:M747)</f>
        <v>45760</v>
      </c>
      <c r="R747" s="101" t="e">
        <f>ROUND(SUM(K747:M747)*(R746-1),2)</f>
        <v>#N/A</v>
      </c>
      <c r="S747" s="43">
        <f>ROUND($B747*S$702*S746,2)</f>
        <v>0</v>
      </c>
      <c r="T747" s="43">
        <f>ROUND($B747*T$702,2)</f>
        <v>0</v>
      </c>
      <c r="U747" s="43">
        <f>ROUND($B747*U$702,2)</f>
        <v>0</v>
      </c>
      <c r="V747" s="43">
        <f>ROUND($B747*V$698,2)</f>
        <v>0</v>
      </c>
      <c r="W747" s="43">
        <f>ROUND($B747*W$702,2)</f>
        <v>0</v>
      </c>
      <c r="X747" s="43">
        <f>ROUND($B747*X$702,2)</f>
        <v>0</v>
      </c>
      <c r="Y747" s="43">
        <f>ROUND($B747*Y$702,2)</f>
        <v>0</v>
      </c>
      <c r="Z747" s="43">
        <f>ROUND($B747*Z$702,2)</f>
        <v>0</v>
      </c>
      <c r="AA747" s="43">
        <f>ROUND($B747*AA$702,2)</f>
        <v>0</v>
      </c>
      <c r="AB747" s="19">
        <f>SUM(U726:AA726)</f>
        <v>0</v>
      </c>
      <c r="AC747" s="115" t="str">
        <f>+F747</f>
        <v>HL10</v>
      </c>
    </row>
    <row r="748" spans="1:238" ht="13" x14ac:dyDescent="0.3">
      <c r="A748" s="9"/>
      <c r="B748" s="128">
        <v>-1</v>
      </c>
      <c r="D748" s="42"/>
      <c r="E748" s="96"/>
      <c r="F748" s="37"/>
      <c r="G748" s="120"/>
      <c r="H748" s="19"/>
      <c r="I748" s="19"/>
      <c r="J748" s="108"/>
      <c r="K748" s="43"/>
      <c r="L748" s="101"/>
      <c r="M748" s="43"/>
      <c r="N748" s="43"/>
      <c r="O748" s="43"/>
      <c r="P748" s="43"/>
      <c r="Q748" s="43"/>
      <c r="R748" s="39" t="e">
        <f>VLOOKUP((D749),'Pwr Factor'!$A$1:$B$52,2)</f>
        <v>#N/A</v>
      </c>
      <c r="S748" s="51">
        <v>0.5</v>
      </c>
      <c r="T748" s="43"/>
      <c r="U748" s="43"/>
      <c r="V748" s="43"/>
      <c r="W748" s="43"/>
      <c r="X748" s="43"/>
      <c r="Y748" s="43"/>
      <c r="Z748" s="43"/>
      <c r="AA748" s="43"/>
      <c r="AB748" s="19"/>
      <c r="AC748" s="115"/>
    </row>
    <row r="749" spans="1:238" ht="13" x14ac:dyDescent="0.3">
      <c r="A749" s="57" t="s">
        <v>171</v>
      </c>
      <c r="B749" s="111">
        <f>IF(AND('AES Indiana Sep 23 Bill Calc.'!$D$17="HL1",'AES Indiana Sep 23 Bill Calc.'!$D$18="Yes 50%",'AES Indiana Sep 23 Bill Calc.'!$D$20="Yes 2020"),'AES Indiana Sep 23 Bill Calc.'!$D$19,-1)</f>
        <v>-1</v>
      </c>
      <c r="C749" s="111">
        <f>MAX(E749,$C$701)</f>
        <v>2000</v>
      </c>
      <c r="D749" s="111" t="b">
        <f>IF(AND('AES Indiana Sep 23 Bill Calc.'!$D$17="HL1",'AES Indiana Sep 23 Bill Calc.'!$D$18="Yes 50%",'AES Indiana Sep 23 Bill Calc.'!$D$20="Yes 2020"),'AES Indiana Sep 23 Bill Calc.'!$D$22)</f>
        <v>0</v>
      </c>
      <c r="E749" s="111" t="b">
        <f>IF(AND('AES Indiana Sep 23 Bill Calc.'!$D$17="HL1",'AES Indiana Sep 23 Bill Calc.'!$D$18="Yes 50%",'AES Indiana Sep 23 Bill Calc.'!$D$20="Yes 2020"),'AES Indiana Sep 23 Bill Calc.'!$D$21)</f>
        <v>0</v>
      </c>
      <c r="F749" s="37" t="s">
        <v>152</v>
      </c>
      <c r="G749" s="113" t="e">
        <f>SUM(J749:M749,R749:AA749)</f>
        <v>#N/A</v>
      </c>
      <c r="H749" s="19" t="e">
        <f>IF(ISBLANK(B749),0,+#REF!/B749)</f>
        <v>#REF!</v>
      </c>
      <c r="I749" s="19"/>
      <c r="J749" s="108">
        <f>IF(ISBLANK(B749),0,+J$702)</f>
        <v>132.97999999999999</v>
      </c>
      <c r="K749" s="43">
        <f>ROUND($B749*K$702,2)</f>
        <v>-0.04</v>
      </c>
      <c r="L749" s="16">
        <f>IF(ISBLANK($C749),0,IF($C749&lt;$C$703,ROUND($C$703*$L$702,2),IF($C749&gt;L$703,ROUND(L$703*L$702,2),ROUND($C749*L$702,2))))</f>
        <v>45760</v>
      </c>
      <c r="M749" s="17">
        <f>IF($C749&gt;L$703,ROUND(($C749-L$703)*M$702,2),0)</f>
        <v>0</v>
      </c>
      <c r="N749" s="17">
        <f>K749</f>
        <v>-0.04</v>
      </c>
      <c r="O749" s="43"/>
      <c r="P749" s="43"/>
      <c r="Q749" s="17">
        <f>SUM(L749:M749)</f>
        <v>45760</v>
      </c>
      <c r="R749" s="101" t="e">
        <f>ROUND(SUM(K749:M749)*(R748-1),2)</f>
        <v>#N/A</v>
      </c>
      <c r="S749" s="43">
        <f>ROUND($B749*S$702*S748,2)</f>
        <v>0</v>
      </c>
      <c r="T749" s="43">
        <f>ROUND($B749*T$702,2)</f>
        <v>0</v>
      </c>
      <c r="U749" s="43">
        <f>ROUND($B749*U$702,2)</f>
        <v>0</v>
      </c>
      <c r="V749" s="43">
        <f>ROUND($B749*V$698,2)</f>
        <v>0</v>
      </c>
      <c r="W749" s="43">
        <f>ROUND($B749*W$702,2)</f>
        <v>0</v>
      </c>
      <c r="X749" s="43">
        <f>ROUND($B749*X$702,2)</f>
        <v>0</v>
      </c>
      <c r="Y749" s="43">
        <f>ROUND($B749*Y$702,2)</f>
        <v>0</v>
      </c>
      <c r="Z749" s="43">
        <f>ROUND($B749*Z$702,2)</f>
        <v>0</v>
      </c>
      <c r="AA749" s="43">
        <f>ROUND($B749*AA$702,2)</f>
        <v>0</v>
      </c>
      <c r="AB749" s="19">
        <f>SUM(U728:AA728)</f>
        <v>0</v>
      </c>
      <c r="AC749" s="115" t="str">
        <f>+F749</f>
        <v>HL10</v>
      </c>
    </row>
    <row r="750" spans="1:238" ht="13" x14ac:dyDescent="0.3">
      <c r="A750" s="9"/>
      <c r="B750" s="128">
        <v>-1</v>
      </c>
      <c r="D750" s="42"/>
      <c r="E750" s="96"/>
      <c r="F750" s="37"/>
      <c r="G750" s="120"/>
      <c r="H750" s="19"/>
      <c r="I750" s="19"/>
      <c r="J750" s="108"/>
      <c r="K750" s="43"/>
      <c r="L750" s="101"/>
      <c r="M750" s="43"/>
      <c r="N750" s="43"/>
      <c r="O750" s="43"/>
      <c r="P750" s="43"/>
      <c r="Q750" s="43"/>
      <c r="R750" s="39" t="e">
        <f>VLOOKUP((D751),'Pwr Factor'!$A$1:$B$52,2)</f>
        <v>#N/A</v>
      </c>
      <c r="S750" s="51">
        <v>0.25</v>
      </c>
      <c r="T750" s="43"/>
      <c r="U750" s="43"/>
      <c r="V750" s="43"/>
      <c r="W750" s="43"/>
      <c r="X750" s="43"/>
      <c r="Y750" s="43"/>
      <c r="Z750" s="43"/>
      <c r="AA750" s="43"/>
      <c r="AB750" s="19"/>
      <c r="AC750" s="115"/>
    </row>
    <row r="751" spans="1:238" ht="13" x14ac:dyDescent="0.3">
      <c r="A751" s="57" t="s">
        <v>158</v>
      </c>
      <c r="B751" s="111">
        <f>IF(AND('AES Indiana Sep 23 Bill Calc.'!$D$17="HL1",'AES Indiana Sep 23 Bill Calc.'!$D$18="Yes 25%",'AES Indiana Sep 23 Bill Calc.'!$D$20="Yes 2020"),'AES Indiana Sep 23 Bill Calc.'!$D$19,-1)</f>
        <v>-1</v>
      </c>
      <c r="C751" s="111">
        <f>MAX(E751,$C$701)</f>
        <v>2000</v>
      </c>
      <c r="D751" s="111" t="b">
        <f>IF(AND('AES Indiana Sep 23 Bill Calc.'!$D$17="HL1",'AES Indiana Sep 23 Bill Calc.'!$D$18="Yes 25%",'AES Indiana Sep 23 Bill Calc.'!$D$20="Yes 2020"),'AES Indiana Sep 23 Bill Calc.'!$D$22)</f>
        <v>0</v>
      </c>
      <c r="E751" s="111" t="b">
        <f>IF(AND('AES Indiana Sep 23 Bill Calc.'!$D$17="HL1",'AES Indiana Sep 23 Bill Calc.'!$D$18="Yes 25%",'AES Indiana Sep 23 Bill Calc.'!$D$20="Yes 2020"),'AES Indiana Sep 23 Bill Calc.'!$D$21)</f>
        <v>0</v>
      </c>
      <c r="F751" s="37" t="s">
        <v>152</v>
      </c>
      <c r="G751" s="113" t="e">
        <f>SUM(J751:M751,R751:AA751)</f>
        <v>#N/A</v>
      </c>
      <c r="H751" s="19" t="e">
        <f>IF(ISBLANK(B751),0,+#REF!/B751)</f>
        <v>#REF!</v>
      </c>
      <c r="I751" s="19"/>
      <c r="J751" s="108">
        <f>IF(ISBLANK(B751),0,+J$702)</f>
        <v>132.97999999999999</v>
      </c>
      <c r="K751" s="43">
        <f>ROUND($B751*K$702,2)</f>
        <v>-0.04</v>
      </c>
      <c r="L751" s="16">
        <f>IF(ISBLANK($C751),0,IF($C751&lt;$C$703,ROUND($C$703*$L$702,2),IF($C751&gt;L$703,ROUND(L$703*L$702,2),ROUND($C751*L$702,2))))</f>
        <v>45760</v>
      </c>
      <c r="M751" s="17">
        <f>IF($C751&gt;L$703,ROUND(($C751-L$703)*M$702,2),0)</f>
        <v>0</v>
      </c>
      <c r="N751" s="17">
        <f>K751</f>
        <v>-0.04</v>
      </c>
      <c r="O751" s="43"/>
      <c r="P751" s="43"/>
      <c r="Q751" s="17">
        <f>SUM(L751:M751)</f>
        <v>45760</v>
      </c>
      <c r="R751" s="101" t="e">
        <f>ROUND(SUM(K751:M751)*(R750-1),2)</f>
        <v>#N/A</v>
      </c>
      <c r="S751" s="43">
        <f>ROUND($B751*S$702*S750,2)</f>
        <v>0</v>
      </c>
      <c r="T751" s="43">
        <f>ROUND($B751*T$702,2)</f>
        <v>0</v>
      </c>
      <c r="U751" s="43">
        <f>ROUND($B751*U$702,2)</f>
        <v>0</v>
      </c>
      <c r="V751" s="43">
        <f>ROUND($B751*V$698,2)</f>
        <v>0</v>
      </c>
      <c r="W751" s="43">
        <f>ROUND($B751*W$702,2)</f>
        <v>0</v>
      </c>
      <c r="X751" s="43">
        <f>ROUND($B751*X$702,2)</f>
        <v>0</v>
      </c>
      <c r="Y751" s="43">
        <f>ROUND($B751*Y$702,2)</f>
        <v>0</v>
      </c>
      <c r="Z751" s="43">
        <f>ROUND($B751*Z$702,2)</f>
        <v>0</v>
      </c>
      <c r="AA751" s="43">
        <f>ROUND($B751*AA$702,2)</f>
        <v>0</v>
      </c>
      <c r="AB751" s="19">
        <f>SUM(U730:AA730)</f>
        <v>0</v>
      </c>
      <c r="AC751" s="115" t="str">
        <f>+F751</f>
        <v>HL10</v>
      </c>
    </row>
    <row r="752" spans="1:238" ht="13" x14ac:dyDescent="0.3">
      <c r="A752" s="9"/>
      <c r="B752" s="128">
        <v>-1</v>
      </c>
      <c r="D752" s="42"/>
      <c r="E752" s="96"/>
      <c r="F752" s="37"/>
      <c r="G752" s="120"/>
      <c r="H752" s="19"/>
      <c r="I752" s="19"/>
      <c r="J752" s="108"/>
      <c r="K752" s="43"/>
      <c r="L752" s="101"/>
      <c r="M752" s="43"/>
      <c r="N752" s="43"/>
      <c r="O752" s="43"/>
      <c r="P752" s="43"/>
      <c r="Q752" s="43"/>
      <c r="R752" s="39" t="e">
        <f>VLOOKUP((D753),'Pwr Factor'!$A$1:$B$52,2)</f>
        <v>#N/A</v>
      </c>
      <c r="S752" s="51">
        <v>0.1</v>
      </c>
      <c r="T752" s="43"/>
      <c r="U752" s="43"/>
      <c r="V752" s="43"/>
      <c r="W752" s="43"/>
      <c r="X752" s="43"/>
      <c r="Y752" s="43"/>
      <c r="Z752" s="43"/>
      <c r="AA752" s="43"/>
      <c r="AB752" s="19"/>
      <c r="AC752" s="115"/>
    </row>
    <row r="753" spans="1:29" ht="13" x14ac:dyDescent="0.3">
      <c r="A753" s="57" t="s">
        <v>173</v>
      </c>
      <c r="B753" s="111">
        <f>IF(AND('AES Indiana Sep 23 Bill Calc.'!$D$17="HL1",'AES Indiana Sep 23 Bill Calc.'!$D$18="Yes 10%",'AES Indiana Sep 23 Bill Calc.'!$D$20="Yes 2020"),'AES Indiana Sep 23 Bill Calc.'!$D$19,-1)</f>
        <v>-1</v>
      </c>
      <c r="C753" s="111">
        <f>MAX(E753,$C$701)</f>
        <v>2000</v>
      </c>
      <c r="D753" s="111" t="b">
        <f>IF(AND('AES Indiana Sep 23 Bill Calc.'!$D$17="HL1",'AES Indiana Sep 23 Bill Calc.'!$D$18="Yes 10%",'AES Indiana Sep 23 Bill Calc.'!$D$20="Yes 2020"),'AES Indiana Sep 23 Bill Calc.'!$D$22)</f>
        <v>0</v>
      </c>
      <c r="E753" s="111" t="b">
        <f>IF(AND('AES Indiana Sep 23 Bill Calc.'!$D$17="HL1",'AES Indiana Sep 23 Bill Calc.'!$D$18="Yes 10%",'AES Indiana Sep 23 Bill Calc.'!$D$20="Yes 2020"),'AES Indiana Sep 23 Bill Calc.'!$D$21)</f>
        <v>0</v>
      </c>
      <c r="F753" s="37" t="s">
        <v>152</v>
      </c>
      <c r="G753" s="113" t="e">
        <f>SUM(J753:M753,R753:AA753)</f>
        <v>#N/A</v>
      </c>
      <c r="H753" s="19" t="e">
        <f>IF(ISBLANK(B753),0,+#REF!/B753)</f>
        <v>#REF!</v>
      </c>
      <c r="I753" s="19"/>
      <c r="J753" s="108">
        <f>IF(ISBLANK(B753),0,+J$702)</f>
        <v>132.97999999999999</v>
      </c>
      <c r="K753" s="43">
        <f>ROUND($B753*K$702,2)</f>
        <v>-0.04</v>
      </c>
      <c r="L753" s="16">
        <f>IF(ISBLANK($C753),0,IF($C753&lt;$C$703,ROUND($C$703*$L$702,2),IF($C753&gt;L$703,ROUND(L$703*L$702,2),ROUND($C753*L$702,2))))</f>
        <v>45760</v>
      </c>
      <c r="M753" s="17">
        <f>IF($C753&gt;L$703,ROUND(($C753-L$703)*M$702,2),0)</f>
        <v>0</v>
      </c>
      <c r="N753" s="17">
        <f>K753</f>
        <v>-0.04</v>
      </c>
      <c r="O753" s="43"/>
      <c r="P753" s="43"/>
      <c r="Q753" s="17">
        <f>SUM(L753:M753)</f>
        <v>45760</v>
      </c>
      <c r="R753" s="101" t="e">
        <f>ROUND(SUM(K753:M753)*(R752-1),2)</f>
        <v>#N/A</v>
      </c>
      <c r="S753" s="43">
        <f>ROUND($B753*S$702*S752,2)</f>
        <v>0</v>
      </c>
      <c r="T753" s="43">
        <f>ROUND($B753*T$702,2)</f>
        <v>0</v>
      </c>
      <c r="U753" s="43">
        <f>ROUND($B753*U$702,2)</f>
        <v>0</v>
      </c>
      <c r="V753" s="43">
        <f>ROUND($B753*V$698,2)</f>
        <v>0</v>
      </c>
      <c r="W753" s="43">
        <f>ROUND($B753*W$702,2)</f>
        <v>0</v>
      </c>
      <c r="X753" s="43">
        <f>ROUND($B753*X$702,2)</f>
        <v>0</v>
      </c>
      <c r="Y753" s="43">
        <f>ROUND($B753*Y$702,2)</f>
        <v>0</v>
      </c>
      <c r="Z753" s="43">
        <f>ROUND($B753*Z$702,2)</f>
        <v>0</v>
      </c>
      <c r="AA753" s="43">
        <f>ROUND($B753*AA$702,2)</f>
        <v>0</v>
      </c>
      <c r="AB753" s="19">
        <f>SUM(U732:AA732)</f>
        <v>0</v>
      </c>
      <c r="AC753" s="115" t="str">
        <f>+F753</f>
        <v>HL10</v>
      </c>
    </row>
    <row r="754" spans="1:29" ht="13" x14ac:dyDescent="0.3">
      <c r="A754" s="9"/>
      <c r="B754" s="128">
        <v>-1</v>
      </c>
      <c r="D754" s="42"/>
      <c r="E754" s="96"/>
      <c r="F754" s="37"/>
      <c r="G754" s="120"/>
      <c r="H754" s="19"/>
      <c r="I754" s="19"/>
      <c r="J754" s="108"/>
      <c r="K754" s="43"/>
      <c r="L754" s="101"/>
      <c r="M754" s="43"/>
      <c r="N754" s="43"/>
      <c r="O754" s="43"/>
      <c r="P754" s="43"/>
      <c r="Q754" s="43"/>
      <c r="R754" s="39" t="e">
        <f>VLOOKUP((D755),'Pwr Factor'!$A$1:$B$52,2)</f>
        <v>#N/A</v>
      </c>
      <c r="S754" s="51">
        <v>0</v>
      </c>
      <c r="T754" s="43"/>
      <c r="U754" s="43"/>
      <c r="V754" s="43"/>
      <c r="W754" s="43"/>
      <c r="X754" s="43"/>
      <c r="Y754" s="43"/>
      <c r="Z754" s="43"/>
      <c r="AA754" s="43"/>
      <c r="AB754" s="19"/>
      <c r="AC754" s="115"/>
    </row>
    <row r="755" spans="1:29" ht="13" x14ac:dyDescent="0.3">
      <c r="A755" s="57" t="s">
        <v>172</v>
      </c>
      <c r="B755" s="111">
        <f>IF(AND('AES Indiana Sep 23 Bill Calc.'!$D$17="HL1",'AES Indiana Sep 23 Bill Calc.'!$D$18="No",'AES Indiana Sep 23 Bill Calc.'!$D$20="Yes 2020"),'AES Indiana Sep 23 Bill Calc.'!$D$19,-1)</f>
        <v>-1</v>
      </c>
      <c r="C755" s="111">
        <f>MAX(E755,$C$701)</f>
        <v>2000</v>
      </c>
      <c r="D755" s="111" t="b">
        <f>IF(AND('AES Indiana Sep 23 Bill Calc.'!$D$17="HL1",'AES Indiana Sep 23 Bill Calc.'!$D$18="No",'AES Indiana Sep 23 Bill Calc.'!$D$20="Yes 2020"),'AES Indiana Sep 23 Bill Calc.'!$D$22)</f>
        <v>0</v>
      </c>
      <c r="E755" s="111" t="b">
        <f>IF(AND('AES Indiana Sep 23 Bill Calc.'!$D$17="HL1",'AES Indiana Sep 23 Bill Calc.'!$D$18="No",'AES Indiana Sep 23 Bill Calc.'!$D$20="Yes 2020"),'AES Indiana Sep 23 Bill Calc.'!$D$21)</f>
        <v>0</v>
      </c>
      <c r="F755" s="37" t="s">
        <v>152</v>
      </c>
      <c r="G755" s="113" t="e">
        <f>SUM(J755:M755,R755:AA755)</f>
        <v>#N/A</v>
      </c>
      <c r="H755" s="19" t="e">
        <f>IF(ISBLANK(B755),0,+#REF!/B755)</f>
        <v>#REF!</v>
      </c>
      <c r="I755" s="19"/>
      <c r="J755" s="108">
        <f>IF(ISBLANK(B755),0,+J$702)</f>
        <v>132.97999999999999</v>
      </c>
      <c r="K755" s="43">
        <f>ROUND($B755*K$702,2)</f>
        <v>-0.04</v>
      </c>
      <c r="L755" s="16">
        <f>IF(ISBLANK($C755),0,IF($C755&lt;$C$703,ROUND($C$703*$L$702,2),IF($C755&gt;L$703,ROUND(L$703*L$702,2),ROUND($C755*L$702,2))))</f>
        <v>45760</v>
      </c>
      <c r="M755" s="17">
        <f>IF($C755&gt;L$703,ROUND(($C755-L$703)*M$702,2),0)</f>
        <v>0</v>
      </c>
      <c r="N755" s="17">
        <f>K755</f>
        <v>-0.04</v>
      </c>
      <c r="O755" s="43"/>
      <c r="P755" s="43"/>
      <c r="Q755" s="17">
        <f>SUM(L755:M755)</f>
        <v>45760</v>
      </c>
      <c r="R755" s="101" t="e">
        <f>ROUND(SUM(K755:M755)*(R754-1),2)</f>
        <v>#N/A</v>
      </c>
      <c r="S755" s="43">
        <f>ROUND($B755*S$702*S754,2)</f>
        <v>0</v>
      </c>
      <c r="T755" s="43">
        <f>ROUND($B755*T$702,2)</f>
        <v>0</v>
      </c>
      <c r="U755" s="43">
        <f>ROUND($B755*U$702,2)</f>
        <v>0</v>
      </c>
      <c r="V755" s="43">
        <f>ROUND($B755*V$698,2)</f>
        <v>0</v>
      </c>
      <c r="W755" s="43">
        <f>ROUND($B755*W$702,2)</f>
        <v>0</v>
      </c>
      <c r="X755" s="43">
        <f>ROUND($B755*X$702,2)</f>
        <v>0</v>
      </c>
      <c r="Y755" s="43">
        <f>ROUND($B755*Y$702,2)</f>
        <v>0</v>
      </c>
      <c r="Z755" s="43">
        <f>ROUND($B755*Z$702,2)</f>
        <v>0</v>
      </c>
      <c r="AA755" s="43">
        <f>ROUND($B755*AA$702,2)</f>
        <v>0</v>
      </c>
      <c r="AB755" s="19">
        <f>SUM(U734:AA734)</f>
        <v>0</v>
      </c>
      <c r="AC755" s="115" t="str">
        <f>+F755</f>
        <v>HL10</v>
      </c>
    </row>
    <row r="756" spans="1:29" ht="13" x14ac:dyDescent="0.3">
      <c r="A756" s="56"/>
      <c r="B756" s="128">
        <v>-1</v>
      </c>
      <c r="D756" s="42"/>
      <c r="E756" s="96"/>
      <c r="F756" s="37"/>
      <c r="G756" s="120"/>
      <c r="H756" s="19"/>
      <c r="I756" s="19"/>
      <c r="J756" s="108"/>
      <c r="K756" s="43"/>
      <c r="L756" s="101"/>
      <c r="M756" s="43"/>
      <c r="N756" s="43"/>
      <c r="O756" s="43"/>
      <c r="P756" s="43"/>
      <c r="Q756" s="43"/>
      <c r="R756" s="39" t="e">
        <f>VLOOKUP((D757),'Pwr Factor'!$A$1:$B$52,2)</f>
        <v>#N/A</v>
      </c>
      <c r="S756" s="51">
        <v>1</v>
      </c>
      <c r="T756" s="43"/>
      <c r="U756" s="43"/>
      <c r="V756" s="43"/>
      <c r="W756" s="43"/>
      <c r="X756" s="43"/>
      <c r="Y756" s="43"/>
      <c r="Z756" s="43"/>
      <c r="AA756" s="43"/>
      <c r="AB756" s="19"/>
      <c r="AC756" s="115"/>
    </row>
    <row r="757" spans="1:29" ht="13" x14ac:dyDescent="0.3">
      <c r="A757" s="1" t="s">
        <v>73</v>
      </c>
      <c r="B757" s="111">
        <f>IF(AND('AES Indiana Sep 23 Bill Calc.'!$D$17="HL1",'AES Indiana Sep 23 Bill Calc.'!$D$18="Yes 100%",'AES Indiana Sep 23 Bill Calc.'!$D$20="Yes 2021"),'AES Indiana Sep 23 Bill Calc.'!$D$19,-1)</f>
        <v>-1</v>
      </c>
      <c r="C757" s="111">
        <f>MAX(E757,$C$701)</f>
        <v>2000</v>
      </c>
      <c r="D757" s="111" t="b">
        <f>IF(AND('AES Indiana Sep 23 Bill Calc.'!$D$17="HL1",'AES Indiana Sep 23 Bill Calc.'!$D$18="Yes 100%",'AES Indiana Sep 23 Bill Calc.'!$D$20="Yes 2021"),'AES Indiana Sep 23 Bill Calc.'!$D$22)</f>
        <v>0</v>
      </c>
      <c r="E757" s="111" t="b">
        <f>IF(AND('AES Indiana Sep 23 Bill Calc.'!$D$17="HL1",'AES Indiana Sep 23 Bill Calc.'!$D$18="Yes 100%",'AES Indiana Sep 23 Bill Calc.'!$D$20="Yes 2021"),'AES Indiana Sep 23 Bill Calc.'!$D$21)</f>
        <v>0</v>
      </c>
      <c r="F757" s="37" t="s">
        <v>190</v>
      </c>
      <c r="G757" s="113" t="e">
        <f>SUM(J757:M757,R757:AA757)</f>
        <v>#N/A</v>
      </c>
      <c r="H757" s="19" t="e">
        <f>IF(ISBLANK(B757),0,+#REF!/B757)</f>
        <v>#REF!</v>
      </c>
      <c r="I757" s="19"/>
      <c r="J757" s="108">
        <f>IF(ISBLANK(B757),0,+J$702)</f>
        <v>132.97999999999999</v>
      </c>
      <c r="K757" s="43">
        <f>ROUND($B757*K$702,2)</f>
        <v>-0.04</v>
      </c>
      <c r="L757" s="16">
        <f>IF(ISBLANK($C757),0,IF($C757&lt;$C$703,ROUND($C$703*$L$702,2),IF($C757&gt;L$703,ROUND(L$703*L$702,2),ROUND($C757*L$702,2))))</f>
        <v>45760</v>
      </c>
      <c r="M757" s="17">
        <f>IF($C757&gt;L$703,ROUND(($C757-L$703)*M$702,2),0)</f>
        <v>0</v>
      </c>
      <c r="N757" s="17">
        <f>K757</f>
        <v>-0.04</v>
      </c>
      <c r="O757" s="43"/>
      <c r="P757" s="43"/>
      <c r="Q757" s="17">
        <f>SUM(L757:M757)</f>
        <v>45760</v>
      </c>
      <c r="R757" s="101" t="e">
        <f>ROUND(SUM(K757:M757)*(R756-1),2)</f>
        <v>#N/A</v>
      </c>
      <c r="S757" s="43">
        <f>ROUND($B757*S$702*S756,2)</f>
        <v>0</v>
      </c>
      <c r="T757" s="43">
        <f>ROUND($B757*T$702,2)</f>
        <v>0</v>
      </c>
      <c r="U757" s="43">
        <f>ROUND($B757*U$702,2)</f>
        <v>0</v>
      </c>
      <c r="V757" s="43">
        <f>ROUND($B757*V$699,2)</f>
        <v>0</v>
      </c>
      <c r="W757" s="43">
        <f>ROUND($B757*W$702,2)</f>
        <v>0</v>
      </c>
      <c r="X757" s="43">
        <f>ROUND($B757*X$702,2)</f>
        <v>0</v>
      </c>
      <c r="Y757" s="43">
        <f>ROUND($B757*Y$702,2)</f>
        <v>0</v>
      </c>
      <c r="Z757" s="43">
        <f>ROUND($B757*Z$702,2)</f>
        <v>0</v>
      </c>
      <c r="AA757" s="43">
        <f>ROUND($B757*AA$702,2)</f>
        <v>0</v>
      </c>
      <c r="AB757" s="19">
        <f>SUM(U736:AA736)</f>
        <v>0</v>
      </c>
      <c r="AC757" s="115" t="str">
        <f>+F757</f>
        <v>HL11</v>
      </c>
    </row>
    <row r="758" spans="1:29" ht="13" x14ac:dyDescent="0.3">
      <c r="A758" s="9"/>
      <c r="B758" s="128">
        <v>-1</v>
      </c>
      <c r="D758" s="42"/>
      <c r="E758" s="96"/>
      <c r="F758" s="37"/>
      <c r="G758" s="120"/>
      <c r="H758" s="19"/>
      <c r="I758" s="19"/>
      <c r="J758" s="108"/>
      <c r="K758" s="43"/>
      <c r="L758" s="101"/>
      <c r="M758" s="43"/>
      <c r="N758" s="43"/>
      <c r="O758" s="43"/>
      <c r="P758" s="43"/>
      <c r="Q758" s="43"/>
      <c r="R758" s="39" t="e">
        <f>VLOOKUP((D759),'Pwr Factor'!$A$1:$B$52,2)</f>
        <v>#N/A</v>
      </c>
      <c r="S758" s="51">
        <v>0.5</v>
      </c>
      <c r="T758" s="43"/>
      <c r="U758" s="43"/>
      <c r="V758" s="43"/>
      <c r="W758" s="43"/>
      <c r="X758" s="43"/>
      <c r="Y758" s="43"/>
      <c r="Z758" s="43"/>
      <c r="AA758" s="43"/>
      <c r="AB758" s="19"/>
      <c r="AC758" s="115"/>
    </row>
    <row r="759" spans="1:29" ht="13" x14ac:dyDescent="0.3">
      <c r="A759" s="57" t="s">
        <v>171</v>
      </c>
      <c r="B759" s="111">
        <f>IF(AND('AES Indiana Sep 23 Bill Calc.'!$D$17="HL1",'AES Indiana Sep 23 Bill Calc.'!$D$18="Yes 50%",'AES Indiana Sep 23 Bill Calc.'!$D$20="Yes 2021"),'AES Indiana Sep 23 Bill Calc.'!$D$19,-1)</f>
        <v>-1</v>
      </c>
      <c r="C759" s="111">
        <f>MAX(E759,$C$701)</f>
        <v>2000</v>
      </c>
      <c r="D759" s="111" t="b">
        <f>IF(AND('AES Indiana Sep 23 Bill Calc.'!$D$17="HL1",'AES Indiana Sep 23 Bill Calc.'!$D$18="Yes 50%",'AES Indiana Sep 23 Bill Calc.'!$D$20="Yes 2021"),'AES Indiana Sep 23 Bill Calc.'!$D$22)</f>
        <v>0</v>
      </c>
      <c r="E759" s="111" t="b">
        <f>IF(AND('AES Indiana Sep 23 Bill Calc.'!$D$17="HL1",'AES Indiana Sep 23 Bill Calc.'!$D$18="Yes 50%",'AES Indiana Sep 23 Bill Calc.'!$D$20="Yes 2021"),'AES Indiana Sep 23 Bill Calc.'!$D$21)</f>
        <v>0</v>
      </c>
      <c r="F759" s="37" t="s">
        <v>190</v>
      </c>
      <c r="G759" s="113" t="e">
        <f>SUM(J759:M759,R759:AA759)</f>
        <v>#N/A</v>
      </c>
      <c r="H759" s="19" t="e">
        <f>IF(ISBLANK(B759),0,+#REF!/B759)</f>
        <v>#REF!</v>
      </c>
      <c r="I759" s="19"/>
      <c r="J759" s="108">
        <f>IF(ISBLANK(B759),0,+J$702)</f>
        <v>132.97999999999999</v>
      </c>
      <c r="K759" s="43">
        <f>ROUND($B759*K$702,2)</f>
        <v>-0.04</v>
      </c>
      <c r="L759" s="16">
        <f>IF(ISBLANK($C759),0,IF($C759&lt;$C$703,ROUND($C$703*$L$702,2),IF($C759&gt;L$703,ROUND(L$703*L$702,2),ROUND($C759*L$702,2))))</f>
        <v>45760</v>
      </c>
      <c r="M759" s="17">
        <f>IF($C759&gt;L$703,ROUND(($C759-L$703)*M$702,2),0)</f>
        <v>0</v>
      </c>
      <c r="N759" s="17">
        <f>K759</f>
        <v>-0.04</v>
      </c>
      <c r="O759" s="43"/>
      <c r="P759" s="43"/>
      <c r="Q759" s="17">
        <f>SUM(L759:M759)</f>
        <v>45760</v>
      </c>
      <c r="R759" s="101" t="e">
        <f>ROUND(SUM(K759:M759)*(R758-1),2)</f>
        <v>#N/A</v>
      </c>
      <c r="S759" s="43">
        <f>ROUND($B759*S$702*S758,2)</f>
        <v>0</v>
      </c>
      <c r="T759" s="43">
        <f>ROUND($B759*T$702,2)</f>
        <v>0</v>
      </c>
      <c r="U759" s="43">
        <f>ROUND($B759*U$702,2)</f>
        <v>0</v>
      </c>
      <c r="V759" s="43">
        <f>ROUND($B759*V$699,2)</f>
        <v>0</v>
      </c>
      <c r="W759" s="43">
        <f>ROUND($B759*W$702,2)</f>
        <v>0</v>
      </c>
      <c r="X759" s="43">
        <f>ROUND($B759*X$702,2)</f>
        <v>0</v>
      </c>
      <c r="Y759" s="43">
        <f>ROUND($B759*Y$702,2)</f>
        <v>0</v>
      </c>
      <c r="Z759" s="43">
        <f>ROUND($B759*Z$702,2)</f>
        <v>0</v>
      </c>
      <c r="AA759" s="43">
        <f>ROUND($B759*AA$702,2)</f>
        <v>0</v>
      </c>
      <c r="AB759" s="19">
        <f>SUM(U738:AA738)</f>
        <v>0</v>
      </c>
      <c r="AC759" s="115" t="str">
        <f>+F759</f>
        <v>HL11</v>
      </c>
    </row>
    <row r="760" spans="1:29" ht="13" x14ac:dyDescent="0.3">
      <c r="A760" s="9"/>
      <c r="B760" s="128">
        <v>-1</v>
      </c>
      <c r="D760" s="42"/>
      <c r="E760" s="96"/>
      <c r="F760" s="37"/>
      <c r="G760" s="120"/>
      <c r="H760" s="19"/>
      <c r="I760" s="19"/>
      <c r="J760" s="108"/>
      <c r="K760" s="43"/>
      <c r="L760" s="101"/>
      <c r="M760" s="43"/>
      <c r="N760" s="43"/>
      <c r="O760" s="43"/>
      <c r="P760" s="43"/>
      <c r="Q760" s="43"/>
      <c r="R760" s="39" t="e">
        <f>VLOOKUP((D761),'Pwr Factor'!$A$1:$B$52,2)</f>
        <v>#N/A</v>
      </c>
      <c r="S760" s="51">
        <v>0.25</v>
      </c>
      <c r="T760" s="43"/>
      <c r="U760" s="43"/>
      <c r="V760" s="43"/>
      <c r="W760" s="43"/>
      <c r="X760" s="43"/>
      <c r="Y760" s="43"/>
      <c r="Z760" s="43"/>
      <c r="AA760" s="43"/>
      <c r="AB760" s="19"/>
      <c r="AC760" s="115"/>
    </row>
    <row r="761" spans="1:29" ht="13" x14ac:dyDescent="0.3">
      <c r="A761" s="57" t="s">
        <v>158</v>
      </c>
      <c r="B761" s="111">
        <f>IF(AND('AES Indiana Sep 23 Bill Calc.'!$D$17="HL1",'AES Indiana Sep 23 Bill Calc.'!$D$18="Yes 25%",'AES Indiana Sep 23 Bill Calc.'!$D$20="Yes 2021"),'AES Indiana Sep 23 Bill Calc.'!$D$19,-1)</f>
        <v>-1</v>
      </c>
      <c r="C761" s="111">
        <f>MAX(E761,$C$701)</f>
        <v>2000</v>
      </c>
      <c r="D761" s="111" t="b">
        <f>IF(AND('AES Indiana Sep 23 Bill Calc.'!$D$17="HL1",'AES Indiana Sep 23 Bill Calc.'!$D$18="Yes 25%",'AES Indiana Sep 23 Bill Calc.'!$D$20="Yes 2021"),'AES Indiana Sep 23 Bill Calc.'!$D$22)</f>
        <v>0</v>
      </c>
      <c r="E761" s="111" t="b">
        <f>IF(AND('AES Indiana Sep 23 Bill Calc.'!$D$17="HL1",'AES Indiana Sep 23 Bill Calc.'!$D$18="Yes 25%",'AES Indiana Sep 23 Bill Calc.'!$D$20="Yes 2021"),'AES Indiana Sep 23 Bill Calc.'!$D$21)</f>
        <v>0</v>
      </c>
      <c r="F761" s="37" t="s">
        <v>190</v>
      </c>
      <c r="G761" s="113" t="e">
        <f>SUM(J761:M761,R761:AA761)</f>
        <v>#N/A</v>
      </c>
      <c r="H761" s="19" t="e">
        <f>IF(ISBLANK(B761),0,+#REF!/B761)</f>
        <v>#REF!</v>
      </c>
      <c r="I761" s="19"/>
      <c r="J761" s="108">
        <f>IF(ISBLANK(B761),0,+J$702)</f>
        <v>132.97999999999999</v>
      </c>
      <c r="K761" s="43">
        <f>ROUND($B761*K$702,2)</f>
        <v>-0.04</v>
      </c>
      <c r="L761" s="16">
        <f>IF(ISBLANK($C761),0,IF($C761&lt;$C$703,ROUND($C$703*$L$702,2),IF($C761&gt;L$703,ROUND(L$703*L$702,2),ROUND($C761*L$702,2))))</f>
        <v>45760</v>
      </c>
      <c r="M761" s="17">
        <f>IF($C761&gt;L$703,ROUND(($C761-L$703)*M$702,2),0)</f>
        <v>0</v>
      </c>
      <c r="N761" s="17">
        <f>K761</f>
        <v>-0.04</v>
      </c>
      <c r="O761" s="43"/>
      <c r="P761" s="43"/>
      <c r="Q761" s="17">
        <f>SUM(L761:M761)</f>
        <v>45760</v>
      </c>
      <c r="R761" s="101" t="e">
        <f>ROUND(SUM(K761:M761)*(R760-1),2)</f>
        <v>#N/A</v>
      </c>
      <c r="S761" s="43">
        <f>ROUND($B761*S$702*S760,2)</f>
        <v>0</v>
      </c>
      <c r="T761" s="43">
        <f>ROUND($B761*T$702,2)</f>
        <v>0</v>
      </c>
      <c r="U761" s="43">
        <f>ROUND($B761*U$702,2)</f>
        <v>0</v>
      </c>
      <c r="V761" s="43">
        <f>ROUND($B761*V$699,2)</f>
        <v>0</v>
      </c>
      <c r="W761" s="43">
        <f>ROUND($B761*W$702,2)</f>
        <v>0</v>
      </c>
      <c r="X761" s="43">
        <f>ROUND($B761*X$702,2)</f>
        <v>0</v>
      </c>
      <c r="Y761" s="43">
        <f>ROUND($B761*Y$702,2)</f>
        <v>0</v>
      </c>
      <c r="Z761" s="43">
        <f>ROUND($B761*Z$702,2)</f>
        <v>0</v>
      </c>
      <c r="AA761" s="43">
        <f>ROUND($B761*AA$702,2)</f>
        <v>0</v>
      </c>
      <c r="AB761" s="19">
        <f>SUM(U740:AA740)</f>
        <v>0</v>
      </c>
      <c r="AC761" s="115" t="str">
        <f>+F761</f>
        <v>HL11</v>
      </c>
    </row>
    <row r="762" spans="1:29" ht="13" x14ac:dyDescent="0.3">
      <c r="A762" s="9"/>
      <c r="B762" s="128">
        <v>-1</v>
      </c>
      <c r="D762" s="42"/>
      <c r="E762" s="96"/>
      <c r="F762" s="37"/>
      <c r="G762" s="120"/>
      <c r="H762" s="19"/>
      <c r="I762" s="19"/>
      <c r="J762" s="108"/>
      <c r="K762" s="43"/>
      <c r="L762" s="101"/>
      <c r="M762" s="43"/>
      <c r="N762" s="43"/>
      <c r="O762" s="43"/>
      <c r="P762" s="43"/>
      <c r="Q762" s="43"/>
      <c r="R762" s="39" t="e">
        <f>VLOOKUP((D763),'Pwr Factor'!$A$1:$B$52,2)</f>
        <v>#N/A</v>
      </c>
      <c r="S762" s="51">
        <v>0.1</v>
      </c>
      <c r="T762" s="43"/>
      <c r="U762" s="43"/>
      <c r="V762" s="43"/>
      <c r="W762" s="43"/>
      <c r="X762" s="43"/>
      <c r="Y762" s="43"/>
      <c r="Z762" s="43"/>
      <c r="AA762" s="43"/>
      <c r="AB762" s="19"/>
      <c r="AC762" s="115"/>
    </row>
    <row r="763" spans="1:29" ht="13" x14ac:dyDescent="0.3">
      <c r="A763" s="57" t="s">
        <v>173</v>
      </c>
      <c r="B763" s="111">
        <f>IF(AND('AES Indiana Sep 23 Bill Calc.'!$D$17="HL1",'AES Indiana Sep 23 Bill Calc.'!$D$18="Yes 10%",'AES Indiana Sep 23 Bill Calc.'!$D$20="Yes 2021"),'AES Indiana Sep 23 Bill Calc.'!$D$19,-1)</f>
        <v>-1</v>
      </c>
      <c r="C763" s="111">
        <f>MAX(E763,$C$701)</f>
        <v>2000</v>
      </c>
      <c r="D763" s="111" t="b">
        <f>IF(AND('AES Indiana Sep 23 Bill Calc.'!$D$17="HL1",'AES Indiana Sep 23 Bill Calc.'!$D$18="Yes 10%",'AES Indiana Sep 23 Bill Calc.'!$D$20="Yes 2021"),'AES Indiana Sep 23 Bill Calc.'!$D$22)</f>
        <v>0</v>
      </c>
      <c r="E763" s="111" t="b">
        <f>IF(AND('AES Indiana Sep 23 Bill Calc.'!$D$17="HL1",'AES Indiana Sep 23 Bill Calc.'!$D$18="Yes 10%",'AES Indiana Sep 23 Bill Calc.'!$D$20="Yes 2021"),'AES Indiana Sep 23 Bill Calc.'!$D$21)</f>
        <v>0</v>
      </c>
      <c r="F763" s="37" t="s">
        <v>190</v>
      </c>
      <c r="G763" s="113" t="e">
        <f>SUM(J763:M763,R763:AA763)</f>
        <v>#N/A</v>
      </c>
      <c r="H763" s="19" t="e">
        <f>IF(ISBLANK(B763),0,+#REF!/B763)</f>
        <v>#REF!</v>
      </c>
      <c r="I763" s="19"/>
      <c r="J763" s="108">
        <f>IF(ISBLANK(B763),0,+J$702)</f>
        <v>132.97999999999999</v>
      </c>
      <c r="K763" s="43">
        <f>ROUND($B763*K$702,2)</f>
        <v>-0.04</v>
      </c>
      <c r="L763" s="16">
        <f>IF(ISBLANK($C763),0,IF($C763&lt;$C$703,ROUND($C$703*$L$702,2),IF($C763&gt;L$703,ROUND(L$703*L$702,2),ROUND($C763*L$702,2))))</f>
        <v>45760</v>
      </c>
      <c r="M763" s="17">
        <f>IF($C763&gt;L$703,ROUND(($C763-L$703)*M$702,2),0)</f>
        <v>0</v>
      </c>
      <c r="N763" s="17">
        <f>K763</f>
        <v>-0.04</v>
      </c>
      <c r="O763" s="43"/>
      <c r="P763" s="43"/>
      <c r="Q763" s="17">
        <f>SUM(L763:M763)</f>
        <v>45760</v>
      </c>
      <c r="R763" s="101" t="e">
        <f>ROUND(SUM(K763:M763)*(R762-1),2)</f>
        <v>#N/A</v>
      </c>
      <c r="S763" s="43">
        <f>ROUND($B763*S$702*S762,2)</f>
        <v>0</v>
      </c>
      <c r="T763" s="43">
        <f>ROUND($B763*T$702,2)</f>
        <v>0</v>
      </c>
      <c r="U763" s="43">
        <f>ROUND($B763*U$702,2)</f>
        <v>0</v>
      </c>
      <c r="V763" s="43">
        <f>ROUND($B763*V$699,2)</f>
        <v>0</v>
      </c>
      <c r="W763" s="43">
        <f>ROUND($B763*W$702,2)</f>
        <v>0</v>
      </c>
      <c r="X763" s="43">
        <f>ROUND($B763*X$702,2)</f>
        <v>0</v>
      </c>
      <c r="Y763" s="43">
        <f>ROUND($B763*Y$702,2)</f>
        <v>0</v>
      </c>
      <c r="Z763" s="43">
        <f>ROUND($B763*Z$702,2)</f>
        <v>0</v>
      </c>
      <c r="AA763" s="43">
        <f>ROUND($B763*AA$702,2)</f>
        <v>0</v>
      </c>
      <c r="AB763" s="19">
        <f>SUM(U742:AA742)</f>
        <v>0</v>
      </c>
      <c r="AC763" s="115" t="str">
        <f>+F763</f>
        <v>HL11</v>
      </c>
    </row>
    <row r="764" spans="1:29" ht="13" x14ac:dyDescent="0.3">
      <c r="A764" s="9"/>
      <c r="B764" s="128">
        <v>-1</v>
      </c>
      <c r="D764" s="42"/>
      <c r="E764" s="96"/>
      <c r="F764" s="37"/>
      <c r="G764" s="120"/>
      <c r="H764" s="19"/>
      <c r="I764" s="19"/>
      <c r="J764" s="108"/>
      <c r="K764" s="43"/>
      <c r="L764" s="101"/>
      <c r="M764" s="43"/>
      <c r="N764" s="43"/>
      <c r="O764" s="43"/>
      <c r="P764" s="43"/>
      <c r="Q764" s="43"/>
      <c r="R764" s="39" t="e">
        <f>VLOOKUP((D765),'Pwr Factor'!$A$1:$B$52,2)</f>
        <v>#N/A</v>
      </c>
      <c r="S764" s="51">
        <v>0</v>
      </c>
      <c r="T764" s="43"/>
      <c r="U764" s="43"/>
      <c r="V764" s="43"/>
      <c r="W764" s="43"/>
      <c r="X764" s="43"/>
      <c r="Y764" s="43"/>
      <c r="Z764" s="43"/>
      <c r="AA764" s="43"/>
      <c r="AB764" s="19"/>
      <c r="AC764" s="115"/>
    </row>
    <row r="765" spans="1:29" ht="13" x14ac:dyDescent="0.3">
      <c r="A765" s="57" t="s">
        <v>172</v>
      </c>
      <c r="B765" s="111">
        <f>IF(AND('AES Indiana Sep 23 Bill Calc.'!$D$17="HL1",'AES Indiana Sep 23 Bill Calc.'!$D$18="No",'AES Indiana Sep 23 Bill Calc.'!$D$20="Yes 2021"),'AES Indiana Sep 23 Bill Calc.'!$D$19,-1)</f>
        <v>-1</v>
      </c>
      <c r="C765" s="111">
        <f>MAX(E765,$C$701)</f>
        <v>2000</v>
      </c>
      <c r="D765" s="111" t="b">
        <f>IF(AND('AES Indiana Sep 23 Bill Calc.'!$D$17="HL1",'AES Indiana Sep 23 Bill Calc.'!$D$18="No",'AES Indiana Sep 23 Bill Calc.'!$D$20="Yes 2021"),'AES Indiana Sep 23 Bill Calc.'!$D$22)</f>
        <v>0</v>
      </c>
      <c r="E765" s="111" t="b">
        <f>IF(AND('AES Indiana Sep 23 Bill Calc.'!$D$17="HL1",'AES Indiana Sep 23 Bill Calc.'!$D$18="No",'AES Indiana Sep 23 Bill Calc.'!$D$20="Yes 2021"),'AES Indiana Sep 23 Bill Calc.'!$D$21)</f>
        <v>0</v>
      </c>
      <c r="F765" s="37" t="s">
        <v>190</v>
      </c>
      <c r="G765" s="113" t="e">
        <f>SUM(J765:M765,R765:AA765)</f>
        <v>#N/A</v>
      </c>
      <c r="H765" s="19" t="e">
        <f>IF(ISBLANK(B765),0,+#REF!/B765)</f>
        <v>#REF!</v>
      </c>
      <c r="I765" s="19"/>
      <c r="J765" s="108">
        <f>IF(ISBLANK(B765),0,+J$702)</f>
        <v>132.97999999999999</v>
      </c>
      <c r="K765" s="43">
        <f>ROUND($B765*K$702,2)</f>
        <v>-0.04</v>
      </c>
      <c r="L765" s="16">
        <f>IF(ISBLANK($C765),0,IF($C765&lt;$C$703,ROUND($C$703*$L$702,2),IF($C765&gt;L$703,ROUND(L$703*L$702,2),ROUND($C765*L$702,2))))</f>
        <v>45760</v>
      </c>
      <c r="M765" s="17">
        <f>IF($C765&gt;L$703,ROUND(($C765-L$703)*M$702,2),0)</f>
        <v>0</v>
      </c>
      <c r="N765" s="17">
        <f>K765</f>
        <v>-0.04</v>
      </c>
      <c r="O765" s="43"/>
      <c r="P765" s="43"/>
      <c r="Q765" s="17">
        <f>SUM(L765:M765)</f>
        <v>45760</v>
      </c>
      <c r="R765" s="101" t="e">
        <f>ROUND(SUM(K765:M765)*(R764-1),2)</f>
        <v>#N/A</v>
      </c>
      <c r="S765" s="43">
        <f>ROUND($B765*S$702*S764,2)</f>
        <v>0</v>
      </c>
      <c r="T765" s="43">
        <f>ROUND($B765*T$702,2)</f>
        <v>0</v>
      </c>
      <c r="U765" s="43">
        <f>ROUND($B765*U$702,2)</f>
        <v>0</v>
      </c>
      <c r="V765" s="43">
        <f>ROUND($B765*V$699,2)</f>
        <v>0</v>
      </c>
      <c r="W765" s="43">
        <f>ROUND($B765*W$702,2)</f>
        <v>0</v>
      </c>
      <c r="X765" s="43">
        <f>ROUND($B765*X$702,2)</f>
        <v>0</v>
      </c>
      <c r="Y765" s="43">
        <f>ROUND($B765*Y$702,2)</f>
        <v>0</v>
      </c>
      <c r="Z765" s="43">
        <f>ROUND($B765*Z$702,2)</f>
        <v>0</v>
      </c>
      <c r="AA765" s="43">
        <f>ROUND($B765*AA$702,2)</f>
        <v>0</v>
      </c>
      <c r="AB765" s="19">
        <f>SUM(U744:AA744)</f>
        <v>0</v>
      </c>
      <c r="AC765" s="115" t="str">
        <f>+F765</f>
        <v>HL11</v>
      </c>
    </row>
    <row r="766" spans="1:29" ht="13" x14ac:dyDescent="0.3">
      <c r="A766" s="56"/>
      <c r="B766" s="128">
        <v>-1</v>
      </c>
      <c r="D766" s="42"/>
      <c r="E766" s="96"/>
      <c r="F766" s="37"/>
      <c r="G766" s="120"/>
      <c r="H766" s="19"/>
      <c r="I766" s="19"/>
      <c r="J766" s="108"/>
      <c r="K766" s="43"/>
      <c r="L766" s="101"/>
      <c r="M766" s="43"/>
      <c r="N766" s="43"/>
      <c r="O766" s="43"/>
      <c r="P766" s="43"/>
      <c r="Q766" s="43"/>
      <c r="R766" s="39" t="e">
        <f>VLOOKUP((D767),'Pwr Factor'!$A$1:$B$52,2)</f>
        <v>#N/A</v>
      </c>
      <c r="S766" s="51">
        <v>1</v>
      </c>
      <c r="T766" s="43"/>
      <c r="U766" s="43"/>
      <c r="V766" s="43"/>
      <c r="W766" s="43"/>
      <c r="X766" s="43"/>
      <c r="Y766" s="43"/>
      <c r="Z766" s="43"/>
      <c r="AA766" s="43"/>
      <c r="AB766" s="19"/>
      <c r="AC766" s="115"/>
    </row>
    <row r="767" spans="1:29" ht="13" x14ac:dyDescent="0.3">
      <c r="A767" s="1" t="s">
        <v>73</v>
      </c>
      <c r="B767" s="111">
        <f>IF(AND('AES Indiana Sep 23 Bill Calc.'!$D$17="HL1",'AES Indiana Sep 23 Bill Calc.'!$D$18="Yes 100%",'AES Indiana Sep 23 Bill Calc.'!$D$20="Yes 2022"),'AES Indiana Sep 23 Bill Calc.'!$D$19,-1)</f>
        <v>-1</v>
      </c>
      <c r="C767" s="111">
        <f>MAX(E767,$C$701)</f>
        <v>2000</v>
      </c>
      <c r="D767" s="111" t="b">
        <f>IF(AND('AES Indiana Sep 23 Bill Calc.'!$D$17="HL1",'AES Indiana Sep 23 Bill Calc.'!$D$18="Yes 100%",'AES Indiana Sep 23 Bill Calc.'!$D$20="Yes 2022"),'AES Indiana Sep 23 Bill Calc.'!$D$22)</f>
        <v>0</v>
      </c>
      <c r="E767" s="111" t="b">
        <f>IF(AND('AES Indiana Sep 23 Bill Calc.'!$D$17="HL1",'AES Indiana Sep 23 Bill Calc.'!$D$18="Yes 100%",'AES Indiana Sep 23 Bill Calc.'!$D$20="Yes 2022"),'AES Indiana Sep 23 Bill Calc.'!$D$21)</f>
        <v>0</v>
      </c>
      <c r="F767" s="37" t="s">
        <v>191</v>
      </c>
      <c r="G767" s="120" t="e">
        <v>#N/A</v>
      </c>
      <c r="H767" s="19" t="e">
        <f>IF(ISBLANK(B767),0,+#REF!/B767)</f>
        <v>#REF!</v>
      </c>
      <c r="I767" s="19"/>
      <c r="J767" s="108">
        <f>IF(ISBLANK(B767),0,+J$702)</f>
        <v>132.97999999999999</v>
      </c>
      <c r="K767" s="43">
        <f>ROUND($B767*K$702,2)</f>
        <v>-0.04</v>
      </c>
      <c r="L767" s="16">
        <f>IF(ISBLANK($C767),0,IF($C767&lt;$C$703,ROUND($C$703*$L$702,2),IF($C767&gt;L$703,ROUND(L$703*L$702,2),ROUND($C767*L$702,2))))</f>
        <v>45760</v>
      </c>
      <c r="M767" s="17">
        <f>IF($C767&gt;L$703,ROUND(($C767-L$703)*M$702,2),0)</f>
        <v>0</v>
      </c>
      <c r="N767" s="17">
        <f>K767</f>
        <v>-0.04</v>
      </c>
      <c r="O767" s="43"/>
      <c r="P767" s="43"/>
      <c r="Q767" s="17">
        <f>SUM(L767:M767)</f>
        <v>45760</v>
      </c>
      <c r="R767" s="101" t="e">
        <f>ROUND(SUM(K767:M767)*(R766-1),2)</f>
        <v>#N/A</v>
      </c>
      <c r="S767" s="43">
        <f>ROUND($B767*S$702*S766,2)</f>
        <v>0</v>
      </c>
      <c r="T767" s="43">
        <f>ROUND($B767*T$702,2)</f>
        <v>0</v>
      </c>
      <c r="U767" s="43">
        <f>ROUND($B767*U$702,2)</f>
        <v>0</v>
      </c>
      <c r="V767" s="43">
        <f>ROUND($B767*V$700,2)</f>
        <v>0</v>
      </c>
      <c r="W767" s="43">
        <f>ROUND($B767*W$702,2)</f>
        <v>0</v>
      </c>
      <c r="X767" s="43">
        <f>ROUND($B767*X$702,2)</f>
        <v>0</v>
      </c>
      <c r="Y767" s="43">
        <f>ROUND($B767*Y$702,2)</f>
        <v>0</v>
      </c>
      <c r="Z767" s="43">
        <f>ROUND($B767*Z$702,2)</f>
        <v>0</v>
      </c>
      <c r="AA767" s="43">
        <f>ROUND($B767*AA$702,2)</f>
        <v>0</v>
      </c>
      <c r="AB767" s="19">
        <f>SUM(U746:AA746)</f>
        <v>0</v>
      </c>
      <c r="AC767" s="115" t="str">
        <f>+F767</f>
        <v>HL12</v>
      </c>
    </row>
    <row r="768" spans="1:29" ht="13" x14ac:dyDescent="0.3">
      <c r="A768" s="9"/>
      <c r="B768" s="128">
        <v>-1</v>
      </c>
      <c r="D768" s="42"/>
      <c r="E768" s="96"/>
      <c r="F768" s="37"/>
      <c r="G768" s="120"/>
      <c r="H768" s="19"/>
      <c r="I768" s="19"/>
      <c r="J768" s="108"/>
      <c r="K768" s="43"/>
      <c r="L768" s="101"/>
      <c r="M768" s="43"/>
      <c r="N768" s="43"/>
      <c r="O768" s="43"/>
      <c r="P768" s="43"/>
      <c r="Q768" s="43"/>
      <c r="R768" s="39" t="e">
        <f>VLOOKUP((D769),'Pwr Factor'!$A$1:$B$52,2)</f>
        <v>#N/A</v>
      </c>
      <c r="S768" s="51">
        <v>0.5</v>
      </c>
      <c r="T768" s="43"/>
      <c r="U768" s="43"/>
      <c r="V768" s="43"/>
      <c r="W768" s="43"/>
      <c r="X768" s="43"/>
      <c r="Y768" s="43"/>
      <c r="Z768" s="43"/>
      <c r="AA768" s="43"/>
      <c r="AB768" s="19"/>
      <c r="AC768" s="115"/>
    </row>
    <row r="769" spans="1:29" ht="13" x14ac:dyDescent="0.3">
      <c r="A769" s="57" t="s">
        <v>171</v>
      </c>
      <c r="B769" s="111">
        <f>IF(AND('AES Indiana Sep 23 Bill Calc.'!$D$17="HL1",'AES Indiana Sep 23 Bill Calc.'!$D$18="Yes 50%",'AES Indiana Sep 23 Bill Calc.'!$D$20="Yes 2022"),'AES Indiana Sep 23 Bill Calc.'!$D$19,-1)</f>
        <v>-1</v>
      </c>
      <c r="C769" s="111">
        <f>MAX(E769,$C$701)</f>
        <v>2000</v>
      </c>
      <c r="D769" s="111" t="b">
        <f>IF(AND('AES Indiana Sep 23 Bill Calc.'!$D$17="HL1",'AES Indiana Sep 23 Bill Calc.'!$D$18="Yes 50%",'AES Indiana Sep 23 Bill Calc.'!$D$20="Yes 2022"),'AES Indiana Sep 23 Bill Calc.'!$D$22)</f>
        <v>0</v>
      </c>
      <c r="E769" s="111" t="b">
        <f>IF(AND('AES Indiana Sep 23 Bill Calc.'!$D$17="HL1",'AES Indiana Sep 23 Bill Calc.'!$D$18="Yes 50%",'AES Indiana Sep 23 Bill Calc.'!$D$20="Yes 2022"),'AES Indiana Sep 23 Bill Calc.'!$D$21)</f>
        <v>0</v>
      </c>
      <c r="F769" s="37" t="s">
        <v>191</v>
      </c>
      <c r="G769" s="113" t="e">
        <f>SUM(J769:M769,R769:AA769)</f>
        <v>#N/A</v>
      </c>
      <c r="H769" s="19" t="e">
        <f>IF(ISBLANK(B769),0,+#REF!/B769)</f>
        <v>#REF!</v>
      </c>
      <c r="I769" s="19"/>
      <c r="J769" s="108">
        <f>IF(ISBLANK(B769),0,+J$702)</f>
        <v>132.97999999999999</v>
      </c>
      <c r="K769" s="43">
        <f>ROUND($B769*K$702,2)</f>
        <v>-0.04</v>
      </c>
      <c r="L769" s="16">
        <f>IF(ISBLANK($C769),0,IF($C769&lt;$C$703,ROUND($C$703*$L$702,2),IF($C769&gt;L$703,ROUND(L$703*L$702,2),ROUND($C769*L$702,2))))</f>
        <v>45760</v>
      </c>
      <c r="M769" s="17">
        <f>IF($C769&gt;L$703,ROUND(($C769-L$703)*M$702,2),0)</f>
        <v>0</v>
      </c>
      <c r="N769" s="17">
        <f>K769</f>
        <v>-0.04</v>
      </c>
      <c r="O769" s="43"/>
      <c r="P769" s="43"/>
      <c r="Q769" s="17">
        <f>SUM(L769:M769)</f>
        <v>45760</v>
      </c>
      <c r="R769" s="101" t="e">
        <f>ROUND(SUM(K769:M769)*(R768-1),2)</f>
        <v>#N/A</v>
      </c>
      <c r="S769" s="43">
        <f>ROUND($B769*S$702*S768,2)</f>
        <v>0</v>
      </c>
      <c r="T769" s="43">
        <f>ROUND($B769*T$702,2)</f>
        <v>0</v>
      </c>
      <c r="U769" s="43">
        <f>ROUND($B769*U$702,2)</f>
        <v>0</v>
      </c>
      <c r="V769" s="43">
        <f>ROUND($B769*V$700,2)</f>
        <v>0</v>
      </c>
      <c r="W769" s="43">
        <f>ROUND($B769*W$702,2)</f>
        <v>0</v>
      </c>
      <c r="X769" s="43">
        <f>ROUND($B769*X$702,2)</f>
        <v>0</v>
      </c>
      <c r="Y769" s="43">
        <f>ROUND($B769*Y$702,2)</f>
        <v>0</v>
      </c>
      <c r="Z769" s="43">
        <f>ROUND($B769*Z$702,2)</f>
        <v>0</v>
      </c>
      <c r="AA769" s="43">
        <f>ROUND($B769*AA$702,2)</f>
        <v>0</v>
      </c>
      <c r="AB769" s="19">
        <f>SUM(U748:AA748)</f>
        <v>0</v>
      </c>
      <c r="AC769" s="115" t="str">
        <f>+F769</f>
        <v>HL12</v>
      </c>
    </row>
    <row r="770" spans="1:29" ht="13" x14ac:dyDescent="0.3">
      <c r="A770" s="9"/>
      <c r="B770" s="128">
        <v>-1</v>
      </c>
      <c r="D770" s="42"/>
      <c r="E770" s="96"/>
      <c r="F770" s="37"/>
      <c r="G770" s="120"/>
      <c r="H770" s="19"/>
      <c r="I770" s="19"/>
      <c r="J770" s="108"/>
      <c r="K770" s="43"/>
      <c r="L770" s="101"/>
      <c r="M770" s="43"/>
      <c r="N770" s="43"/>
      <c r="O770" s="43"/>
      <c r="P770" s="43"/>
      <c r="Q770" s="43"/>
      <c r="R770" s="39" t="e">
        <f>VLOOKUP((D771),'Pwr Factor'!$A$1:$B$52,2)</f>
        <v>#N/A</v>
      </c>
      <c r="S770" s="51">
        <v>0.25</v>
      </c>
      <c r="T770" s="43"/>
      <c r="U770" s="43"/>
      <c r="V770" s="43"/>
      <c r="W770" s="43"/>
      <c r="X770" s="43"/>
      <c r="Y770" s="43"/>
      <c r="Z770" s="43"/>
      <c r="AA770" s="43"/>
      <c r="AB770" s="19"/>
      <c r="AC770" s="115"/>
    </row>
    <row r="771" spans="1:29" ht="13" x14ac:dyDescent="0.3">
      <c r="A771" s="57" t="s">
        <v>158</v>
      </c>
      <c r="B771" s="111">
        <f>IF(AND('AES Indiana Sep 23 Bill Calc.'!$D$17="HL1",'AES Indiana Sep 23 Bill Calc.'!$D$18="Yes 25%",'AES Indiana Sep 23 Bill Calc.'!$D$20="Yes 2022"),'AES Indiana Sep 23 Bill Calc.'!$D$19,-1)</f>
        <v>-1</v>
      </c>
      <c r="C771" s="111">
        <f>MAX(E771,$C$701)</f>
        <v>2000</v>
      </c>
      <c r="D771" s="111" t="b">
        <f>IF(AND('AES Indiana Sep 23 Bill Calc.'!$D$17="HL1",'AES Indiana Sep 23 Bill Calc.'!$D$18="Yes 25%",'AES Indiana Sep 23 Bill Calc.'!$D$20="Yes 2022"),'AES Indiana Sep 23 Bill Calc.'!$D$22)</f>
        <v>0</v>
      </c>
      <c r="E771" s="111" t="b">
        <f>IF(AND('AES Indiana Sep 23 Bill Calc.'!$D$17="HL1",'AES Indiana Sep 23 Bill Calc.'!$D$18="Yes 25%",'AES Indiana Sep 23 Bill Calc.'!$D$20="Yes 2022"),'AES Indiana Sep 23 Bill Calc.'!$D$21)</f>
        <v>0</v>
      </c>
      <c r="F771" s="37" t="s">
        <v>191</v>
      </c>
      <c r="G771" s="113" t="e">
        <f>SUM(J771:M771,R771:AA771)</f>
        <v>#N/A</v>
      </c>
      <c r="H771" s="19" t="e">
        <f>IF(ISBLANK(B771),0,+#REF!/B771)</f>
        <v>#REF!</v>
      </c>
      <c r="I771" s="19"/>
      <c r="J771" s="108">
        <f>IF(ISBLANK(B771),0,+J$702)</f>
        <v>132.97999999999999</v>
      </c>
      <c r="K771" s="43">
        <f>ROUND($B771*K$702,2)</f>
        <v>-0.04</v>
      </c>
      <c r="L771" s="16">
        <f>IF(ISBLANK($C771),0,IF($C771&lt;$C$703,ROUND($C$703*$L$702,2),IF($C771&gt;L$703,ROUND(L$703*L$702,2),ROUND($C771*L$702,2))))</f>
        <v>45760</v>
      </c>
      <c r="M771" s="17">
        <f>IF($C771&gt;L$703,ROUND(($C771-L$703)*M$702,2),0)</f>
        <v>0</v>
      </c>
      <c r="N771" s="17">
        <f>K771</f>
        <v>-0.04</v>
      </c>
      <c r="O771" s="43"/>
      <c r="P771" s="43"/>
      <c r="Q771" s="17">
        <f>SUM(L771:M771)</f>
        <v>45760</v>
      </c>
      <c r="R771" s="101" t="e">
        <f>ROUND(SUM(K771:M771)*(R770-1),2)</f>
        <v>#N/A</v>
      </c>
      <c r="S771" s="43">
        <f>ROUND($B771*S$702*S770,2)</f>
        <v>0</v>
      </c>
      <c r="T771" s="43">
        <f>ROUND($B771*T$702,2)</f>
        <v>0</v>
      </c>
      <c r="U771" s="43">
        <f>ROUND($B771*U$702,2)</f>
        <v>0</v>
      </c>
      <c r="V771" s="43">
        <f>ROUND($B771*V$700,2)</f>
        <v>0</v>
      </c>
      <c r="W771" s="43">
        <f>ROUND($B771*W$702,2)</f>
        <v>0</v>
      </c>
      <c r="X771" s="43">
        <f>ROUND($B771*X$702,2)</f>
        <v>0</v>
      </c>
      <c r="Y771" s="43">
        <f>ROUND($B771*Y$702,2)</f>
        <v>0</v>
      </c>
      <c r="Z771" s="43">
        <f>ROUND($B771*Z$702,2)</f>
        <v>0</v>
      </c>
      <c r="AA771" s="43">
        <f>ROUND($B771*AA$702,2)</f>
        <v>0</v>
      </c>
      <c r="AB771" s="19">
        <f>SUM(U750:AA750)</f>
        <v>0</v>
      </c>
      <c r="AC771" s="115" t="str">
        <f>+F771</f>
        <v>HL12</v>
      </c>
    </row>
    <row r="772" spans="1:29" ht="13" x14ac:dyDescent="0.3">
      <c r="A772" s="9"/>
      <c r="B772" s="128">
        <v>-1</v>
      </c>
      <c r="D772" s="42"/>
      <c r="E772" s="96"/>
      <c r="F772" s="37"/>
      <c r="G772" s="120"/>
      <c r="H772" s="19"/>
      <c r="I772" s="19"/>
      <c r="J772" s="108"/>
      <c r="K772" s="43"/>
      <c r="L772" s="101"/>
      <c r="M772" s="43"/>
      <c r="N772" s="43"/>
      <c r="O772" s="43"/>
      <c r="P772" s="43"/>
      <c r="Q772" s="43"/>
      <c r="R772" s="39" t="e">
        <f>VLOOKUP((D773),'Pwr Factor'!$A$1:$B$52,2)</f>
        <v>#N/A</v>
      </c>
      <c r="S772" s="51">
        <v>0.1</v>
      </c>
      <c r="T772" s="43"/>
      <c r="U772" s="43"/>
      <c r="V772" s="43"/>
      <c r="W772" s="43"/>
      <c r="X772" s="43"/>
      <c r="Y772" s="43"/>
      <c r="Z772" s="43"/>
      <c r="AA772" s="43"/>
      <c r="AB772" s="19"/>
      <c r="AC772" s="115"/>
    </row>
    <row r="773" spans="1:29" ht="13" x14ac:dyDescent="0.3">
      <c r="A773" s="57" t="s">
        <v>173</v>
      </c>
      <c r="B773" s="111">
        <f>IF(AND('AES Indiana Sep 23 Bill Calc.'!$D$17="HL1",'AES Indiana Sep 23 Bill Calc.'!$D$18="Yes 10%",'AES Indiana Sep 23 Bill Calc.'!$D$20="Yes 2022"),'AES Indiana Sep 23 Bill Calc.'!$D$19,-1)</f>
        <v>-1</v>
      </c>
      <c r="C773" s="111">
        <f>MAX(E773,$C$701)</f>
        <v>2000</v>
      </c>
      <c r="D773" s="111" t="b">
        <f>IF(AND('AES Indiana Sep 23 Bill Calc.'!$D$17="HL1",'AES Indiana Sep 23 Bill Calc.'!$D$18="Yes 10%",'AES Indiana Sep 23 Bill Calc.'!$D$20="Yes 2022"),'AES Indiana Sep 23 Bill Calc.'!$D$22)</f>
        <v>0</v>
      </c>
      <c r="E773" s="111" t="b">
        <f>IF(AND('AES Indiana Sep 23 Bill Calc.'!$D$17="HL1",'AES Indiana Sep 23 Bill Calc.'!$D$18="Yes 10%",'AES Indiana Sep 23 Bill Calc.'!$D$20="Yes 2022"),'AES Indiana Sep 23 Bill Calc.'!$D$21)</f>
        <v>0</v>
      </c>
      <c r="F773" s="37" t="s">
        <v>191</v>
      </c>
      <c r="G773" s="113" t="e">
        <f>SUM(J773:M773,R773:AA773)</f>
        <v>#N/A</v>
      </c>
      <c r="H773" s="19" t="e">
        <f>IF(ISBLANK(B773),0,+#REF!/B773)</f>
        <v>#REF!</v>
      </c>
      <c r="I773" s="19"/>
      <c r="J773" s="108">
        <f>IF(ISBLANK(B773),0,+J$702)</f>
        <v>132.97999999999999</v>
      </c>
      <c r="K773" s="43">
        <f>ROUND($B773*K$702,2)</f>
        <v>-0.04</v>
      </c>
      <c r="L773" s="16">
        <f>IF(ISBLANK($C773),0,IF($C773&lt;$C$703,ROUND($C$703*$L$702,2),IF($C773&gt;L$703,ROUND(L$703*L$702,2),ROUND($C773*L$702,2))))</f>
        <v>45760</v>
      </c>
      <c r="M773" s="17">
        <f>IF($C773&gt;L$703,ROUND(($C773-L$703)*M$702,2),0)</f>
        <v>0</v>
      </c>
      <c r="N773" s="17">
        <f>K773</f>
        <v>-0.04</v>
      </c>
      <c r="O773" s="43"/>
      <c r="P773" s="43"/>
      <c r="Q773" s="17">
        <f>SUM(L773:M773)</f>
        <v>45760</v>
      </c>
      <c r="R773" s="101" t="e">
        <f>ROUND(SUM(K773:M773)*(R772-1),2)</f>
        <v>#N/A</v>
      </c>
      <c r="S773" s="43">
        <f>ROUND($B773*S$702*S772,2)</f>
        <v>0</v>
      </c>
      <c r="T773" s="43">
        <f>ROUND($B773*T$702,2)</f>
        <v>0</v>
      </c>
      <c r="U773" s="43">
        <f>ROUND($B773*U$702,2)</f>
        <v>0</v>
      </c>
      <c r="V773" s="43">
        <f>ROUND($B773*V$700,2)</f>
        <v>0</v>
      </c>
      <c r="W773" s="43">
        <f>ROUND($B773*W$702,2)</f>
        <v>0</v>
      </c>
      <c r="X773" s="43">
        <f>ROUND($B773*X$702,2)</f>
        <v>0</v>
      </c>
      <c r="Y773" s="43">
        <f>ROUND($B773*Y$702,2)</f>
        <v>0</v>
      </c>
      <c r="Z773" s="43">
        <f>ROUND($B773*Z$702,2)</f>
        <v>0</v>
      </c>
      <c r="AA773" s="43">
        <f>ROUND($B773*AA$702,2)</f>
        <v>0</v>
      </c>
      <c r="AB773" s="19">
        <f>SUM(U752:AA752)</f>
        <v>0</v>
      </c>
      <c r="AC773" s="115" t="str">
        <f>+F773</f>
        <v>HL12</v>
      </c>
    </row>
    <row r="774" spans="1:29" ht="13" x14ac:dyDescent="0.3">
      <c r="A774" s="9"/>
      <c r="B774" s="128">
        <v>-1</v>
      </c>
      <c r="D774" s="42"/>
      <c r="E774" s="96"/>
      <c r="F774" s="37"/>
      <c r="G774" s="120"/>
      <c r="H774" s="19"/>
      <c r="I774" s="19"/>
      <c r="J774" s="108"/>
      <c r="K774" s="43"/>
      <c r="L774" s="101"/>
      <c r="M774" s="43"/>
      <c r="N774" s="43"/>
      <c r="O774" s="43"/>
      <c r="P774" s="43"/>
      <c r="Q774" s="43"/>
      <c r="R774" s="39" t="e">
        <f>VLOOKUP((D775),'Pwr Factor'!$A$1:$B$52,2)</f>
        <v>#N/A</v>
      </c>
      <c r="S774" s="51">
        <v>0</v>
      </c>
      <c r="T774" s="43"/>
      <c r="U774" s="43"/>
      <c r="V774" s="43"/>
      <c r="W774" s="43"/>
      <c r="X774" s="43"/>
      <c r="Y774" s="43"/>
      <c r="Z774" s="43"/>
      <c r="AA774" s="43"/>
      <c r="AB774" s="19"/>
      <c r="AC774" s="115"/>
    </row>
    <row r="775" spans="1:29" ht="13" x14ac:dyDescent="0.3">
      <c r="A775" s="57" t="s">
        <v>172</v>
      </c>
      <c r="B775" s="111">
        <f>IF(AND('AES Indiana Sep 23 Bill Calc.'!$D$17="HL1",'AES Indiana Sep 23 Bill Calc.'!$D$18="No",'AES Indiana Sep 23 Bill Calc.'!$D$20="Yes 2022"),'AES Indiana Sep 23 Bill Calc.'!$D$19,-1)</f>
        <v>-1</v>
      </c>
      <c r="C775" s="111">
        <f>MAX(E775,$C$701)</f>
        <v>2000</v>
      </c>
      <c r="D775" s="111" t="b">
        <f>IF(AND('AES Indiana Sep 23 Bill Calc.'!$D$17="HL1",'AES Indiana Sep 23 Bill Calc.'!$D$18="No",'AES Indiana Sep 23 Bill Calc.'!$D$20="Yes 2022"),'AES Indiana Sep 23 Bill Calc.'!$D$22)</f>
        <v>0</v>
      </c>
      <c r="E775" s="111" t="b">
        <f>IF(AND('AES Indiana Sep 23 Bill Calc.'!$D$17="HL1",'AES Indiana Sep 23 Bill Calc.'!$D$18="No",'AES Indiana Sep 23 Bill Calc.'!$D$20="Yes 2022"),'AES Indiana Sep 23 Bill Calc.'!$D$21)</f>
        <v>0</v>
      </c>
      <c r="F775" s="37" t="s">
        <v>191</v>
      </c>
      <c r="G775" s="113" t="e">
        <f>SUM(J775:M775,R775:AA775)</f>
        <v>#N/A</v>
      </c>
      <c r="H775" s="19" t="e">
        <f>IF(ISBLANK(B775),0,+#REF!/B775)</f>
        <v>#REF!</v>
      </c>
      <c r="I775" s="19"/>
      <c r="J775" s="108">
        <f>IF(ISBLANK(B775),0,+J$702)</f>
        <v>132.97999999999999</v>
      </c>
      <c r="K775" s="43">
        <f>ROUND($B775*K$702,2)</f>
        <v>-0.04</v>
      </c>
      <c r="L775" s="16">
        <f>IF(ISBLANK($C775),0,IF($C775&lt;$C$703,ROUND($C$703*$L$702,2),IF($C775&gt;L$703,ROUND(L$703*L$702,2),ROUND($C775*L$702,2))))</f>
        <v>45760</v>
      </c>
      <c r="M775" s="17">
        <f>IF($C775&gt;L$703,ROUND(($C775-L$703)*M$702,2),0)</f>
        <v>0</v>
      </c>
      <c r="N775" s="17">
        <f>K775</f>
        <v>-0.04</v>
      </c>
      <c r="O775" s="43"/>
      <c r="P775" s="43"/>
      <c r="Q775" s="17">
        <f>SUM(L775:M775)</f>
        <v>45760</v>
      </c>
      <c r="R775" s="101" t="e">
        <f>ROUND(SUM(K775:M775)*(R774-1),2)</f>
        <v>#N/A</v>
      </c>
      <c r="S775" s="43">
        <f>ROUND($B775*S$702*S774,2)</f>
        <v>0</v>
      </c>
      <c r="T775" s="43">
        <f>ROUND($B775*T$702,2)</f>
        <v>0</v>
      </c>
      <c r="U775" s="43">
        <f>ROUND($B775*U$702,2)</f>
        <v>0</v>
      </c>
      <c r="V775" s="43">
        <f>ROUND($B775*V$700,2)</f>
        <v>0</v>
      </c>
      <c r="W775" s="43">
        <f>ROUND($B775*W$702,2)</f>
        <v>0</v>
      </c>
      <c r="X775" s="43">
        <f>ROUND($B775*X$702,2)</f>
        <v>0</v>
      </c>
      <c r="Y775" s="43">
        <f>ROUND($B775*Y$702,2)</f>
        <v>0</v>
      </c>
      <c r="Z775" s="43">
        <f>ROUND($B775*Z$702,2)</f>
        <v>0</v>
      </c>
      <c r="AA775" s="43">
        <f>ROUND($B775*AA$702,2)</f>
        <v>0</v>
      </c>
      <c r="AB775" s="19">
        <f>SUM(U754:AA754)</f>
        <v>0</v>
      </c>
      <c r="AC775" s="115" t="str">
        <f>+F775</f>
        <v>HL12</v>
      </c>
    </row>
    <row r="776" spans="1:29" ht="13" x14ac:dyDescent="0.3">
      <c r="A776" s="56"/>
      <c r="B776" s="128">
        <v>-1</v>
      </c>
      <c r="D776" s="42"/>
      <c r="E776" s="96"/>
      <c r="F776" s="37"/>
      <c r="G776" s="120"/>
      <c r="H776" s="19"/>
      <c r="I776" s="19"/>
      <c r="J776" s="108"/>
      <c r="K776" s="43"/>
      <c r="L776" s="101"/>
      <c r="M776" s="43"/>
      <c r="N776" s="43"/>
      <c r="O776" s="43"/>
      <c r="P776" s="43"/>
      <c r="Q776" s="43"/>
      <c r="R776" s="39" t="e">
        <f>VLOOKUP((D777),'Pwr Factor'!$A$1:$B$52,2)</f>
        <v>#N/A</v>
      </c>
      <c r="S776" s="51">
        <v>1</v>
      </c>
      <c r="T776" s="43"/>
      <c r="U776" s="43"/>
      <c r="V776" s="43"/>
      <c r="W776" s="43"/>
      <c r="X776" s="43"/>
      <c r="Y776" s="43"/>
      <c r="Z776" s="43"/>
      <c r="AA776" s="43"/>
      <c r="AB776" s="19"/>
      <c r="AC776" s="115"/>
    </row>
    <row r="777" spans="1:29" ht="13" x14ac:dyDescent="0.3">
      <c r="A777" s="1" t="s">
        <v>73</v>
      </c>
      <c r="B777" s="111">
        <f>IF(AND('AES Indiana Sep 23 Bill Calc.'!$D$17="HL1",'AES Indiana Sep 23 Bill Calc.'!$D$18="Yes 100%",'AES Indiana Sep 23 Bill Calc.'!$D$20="Yes 2023"),'AES Indiana Sep 23 Bill Calc.'!$D$19,-1)</f>
        <v>-1</v>
      </c>
      <c r="C777" s="111">
        <f>MAX(E777,$C$701)</f>
        <v>2000</v>
      </c>
      <c r="D777" s="111" t="b">
        <f>IF(AND('AES Indiana Sep 23 Bill Calc.'!$D$17="HL1",'AES Indiana Sep 23 Bill Calc.'!$D$18="Yes 100%",'AES Indiana Sep 23 Bill Calc.'!$D$20="Yes 2022"),'AES Indiana Sep 23 Bill Calc.'!$D$22)</f>
        <v>0</v>
      </c>
      <c r="E777" s="111" t="b">
        <f>IF(AND('AES Indiana Sep 23 Bill Calc.'!$D$17="HL1",'AES Indiana Sep 23 Bill Calc.'!$D$18="Yes 100%",'AES Indiana Sep 23 Bill Calc.'!$D$20="Yes 2022"),'AES Indiana Sep 23 Bill Calc.'!$D$21)</f>
        <v>0</v>
      </c>
      <c r="F777" s="37" t="s">
        <v>300</v>
      </c>
      <c r="G777" s="120" t="e">
        <v>#N/A</v>
      </c>
      <c r="H777" s="19" t="e">
        <f>IF(ISBLANK(B777),0,+#REF!/B777)</f>
        <v>#REF!</v>
      </c>
      <c r="I777" s="19"/>
      <c r="J777" s="108">
        <f>IF(ISBLANK(B777),0,+J$702)</f>
        <v>132.97999999999999</v>
      </c>
      <c r="K777" s="43">
        <f>ROUND($B777*K$702,2)</f>
        <v>-0.04</v>
      </c>
      <c r="L777" s="16">
        <f>IF(ISBLANK($C777),0,IF($C777&lt;$C$703,ROUND($C$703*$L$702,2),IF($C777&gt;L$703,ROUND(L$703*L$702,2),ROUND($C777*L$702,2))))</f>
        <v>45760</v>
      </c>
      <c r="M777" s="17">
        <f>IF($C777&gt;L$703,ROUND(($C777-L$703)*M$702,2),0)</f>
        <v>0</v>
      </c>
      <c r="N777" s="17">
        <f>K777</f>
        <v>-0.04</v>
      </c>
      <c r="O777" s="43"/>
      <c r="P777" s="43"/>
      <c r="Q777" s="17">
        <f>SUM(L777:M777)</f>
        <v>45760</v>
      </c>
      <c r="R777" s="101" t="e">
        <f>ROUND(SUM(K777:M777)*(R776-1),2)</f>
        <v>#N/A</v>
      </c>
      <c r="S777" s="43">
        <f>ROUND($B777*S$702*S776,2)</f>
        <v>0</v>
      </c>
      <c r="T777" s="43">
        <f>ROUND($B777*T$702,2)</f>
        <v>0</v>
      </c>
      <c r="U777" s="43">
        <f>ROUND($B777*U$702,2)</f>
        <v>0</v>
      </c>
      <c r="V777" s="43">
        <f>ROUND($B777*V$701,2)</f>
        <v>0</v>
      </c>
      <c r="W777" s="43">
        <f>ROUND($B777*W$702,2)</f>
        <v>0</v>
      </c>
      <c r="X777" s="43">
        <f>ROUND($B777*X$702,2)</f>
        <v>0</v>
      </c>
      <c r="Y777" s="43">
        <f>ROUND($B777*Y$702,2)</f>
        <v>0</v>
      </c>
      <c r="Z777" s="43">
        <f>ROUND($B777*Z$702,2)</f>
        <v>0</v>
      </c>
      <c r="AA777" s="43">
        <f>ROUND($B777*AA$702,2)</f>
        <v>0</v>
      </c>
      <c r="AB777" s="19">
        <f>SUM(U756:AA756)</f>
        <v>0</v>
      </c>
      <c r="AC777" s="115" t="str">
        <f>+F777</f>
        <v>HL13</v>
      </c>
    </row>
    <row r="778" spans="1:29" ht="13" x14ac:dyDescent="0.3">
      <c r="A778" s="9"/>
      <c r="B778" s="128">
        <v>-1</v>
      </c>
      <c r="D778" s="42"/>
      <c r="E778" s="96"/>
      <c r="F778" s="37"/>
      <c r="G778" s="120"/>
      <c r="H778" s="19"/>
      <c r="I778" s="19"/>
      <c r="J778" s="108"/>
      <c r="K778" s="43"/>
      <c r="L778" s="101"/>
      <c r="M778" s="43"/>
      <c r="N778" s="43"/>
      <c r="O778" s="43"/>
      <c r="P778" s="43"/>
      <c r="Q778" s="43"/>
      <c r="R778" s="39" t="e">
        <f>VLOOKUP((D779),'Pwr Factor'!$A$1:$B$52,2)</f>
        <v>#N/A</v>
      </c>
      <c r="S778" s="51">
        <v>0.5</v>
      </c>
      <c r="T778" s="43"/>
      <c r="U778" s="43"/>
      <c r="V778" s="43"/>
      <c r="W778" s="43"/>
      <c r="X778" s="43"/>
      <c r="Y778" s="43"/>
      <c r="Z778" s="43"/>
      <c r="AA778" s="43"/>
      <c r="AB778" s="19"/>
      <c r="AC778" s="115"/>
    </row>
    <row r="779" spans="1:29" ht="13" x14ac:dyDescent="0.3">
      <c r="A779" s="57" t="s">
        <v>171</v>
      </c>
      <c r="B779" s="111">
        <f>IF(AND('AES Indiana Sep 23 Bill Calc.'!$D$17="HL1",'AES Indiana Sep 23 Bill Calc.'!$D$18="Yes 50%",'AES Indiana Sep 23 Bill Calc.'!$D$20="Yes 2023"),'AES Indiana Sep 23 Bill Calc.'!$D$19,-1)</f>
        <v>-1</v>
      </c>
      <c r="C779" s="111">
        <f>MAX(E779,$C$701)</f>
        <v>2000</v>
      </c>
      <c r="D779" s="111" t="b">
        <f>IF(AND('AES Indiana Sep 23 Bill Calc.'!$D$17="HL1",'AES Indiana Sep 23 Bill Calc.'!$D$18="Yes 50%",'AES Indiana Sep 23 Bill Calc.'!$D$20="Yes 2022"),'AES Indiana Sep 23 Bill Calc.'!$D$22)</f>
        <v>0</v>
      </c>
      <c r="E779" s="111" t="b">
        <f>IF(AND('AES Indiana Sep 23 Bill Calc.'!$D$17="HL1",'AES Indiana Sep 23 Bill Calc.'!$D$18="Yes 50%",'AES Indiana Sep 23 Bill Calc.'!$D$20="Yes 2022"),'AES Indiana Sep 23 Bill Calc.'!$D$21)</f>
        <v>0</v>
      </c>
      <c r="F779" s="37" t="s">
        <v>300</v>
      </c>
      <c r="G779" s="113" t="e">
        <f>SUM(J779:M779,R779:AA779)</f>
        <v>#N/A</v>
      </c>
      <c r="H779" s="19" t="e">
        <f>IF(ISBLANK(B779),0,+#REF!/B779)</f>
        <v>#REF!</v>
      </c>
      <c r="I779" s="19"/>
      <c r="J779" s="108">
        <f>IF(ISBLANK(B779),0,+J$702)</f>
        <v>132.97999999999999</v>
      </c>
      <c r="K779" s="43">
        <f>ROUND($B779*K$702,2)</f>
        <v>-0.04</v>
      </c>
      <c r="L779" s="16">
        <f>IF(ISBLANK($C779),0,IF($C779&lt;$C$703,ROUND($C$703*$L$702,2),IF($C779&gt;L$703,ROUND(L$703*L$702,2),ROUND($C779*L$702,2))))</f>
        <v>45760</v>
      </c>
      <c r="M779" s="17">
        <f>IF($C779&gt;L$703,ROUND(($C779-L$703)*M$702,2),0)</f>
        <v>0</v>
      </c>
      <c r="N779" s="17">
        <f>K779</f>
        <v>-0.04</v>
      </c>
      <c r="O779" s="43"/>
      <c r="P779" s="43"/>
      <c r="Q779" s="17">
        <f>SUM(L779:M779)</f>
        <v>45760</v>
      </c>
      <c r="R779" s="101" t="e">
        <f>ROUND(SUM(K779:M779)*(R778-1),2)</f>
        <v>#N/A</v>
      </c>
      <c r="S779" s="43">
        <f>ROUND($B779*S$702*S778,2)</f>
        <v>0</v>
      </c>
      <c r="T779" s="43">
        <f>ROUND($B779*T$702,2)</f>
        <v>0</v>
      </c>
      <c r="U779" s="43">
        <f>ROUND($B779*U$702,2)</f>
        <v>0</v>
      </c>
      <c r="V779" s="43">
        <f>ROUND($B779*V$701,2)</f>
        <v>0</v>
      </c>
      <c r="W779" s="43">
        <f>ROUND($B779*W$702,2)</f>
        <v>0</v>
      </c>
      <c r="X779" s="43">
        <f>ROUND($B779*X$702,2)</f>
        <v>0</v>
      </c>
      <c r="Y779" s="43">
        <f>ROUND($B779*Y$702,2)</f>
        <v>0</v>
      </c>
      <c r="Z779" s="43">
        <f>ROUND($B779*Z$702,2)</f>
        <v>0</v>
      </c>
      <c r="AA779" s="43">
        <f>ROUND($B779*AA$702,2)</f>
        <v>0</v>
      </c>
      <c r="AB779" s="19">
        <f>SUM(U758:AA758)</f>
        <v>0</v>
      </c>
      <c r="AC779" s="115" t="str">
        <f>+F779</f>
        <v>HL13</v>
      </c>
    </row>
    <row r="780" spans="1:29" ht="13" x14ac:dyDescent="0.3">
      <c r="A780" s="9"/>
      <c r="B780" s="128">
        <v>-1</v>
      </c>
      <c r="D780" s="42"/>
      <c r="E780" s="96"/>
      <c r="F780" s="37"/>
      <c r="G780" s="120"/>
      <c r="H780" s="19"/>
      <c r="I780" s="19"/>
      <c r="J780" s="108"/>
      <c r="K780" s="43"/>
      <c r="L780" s="101"/>
      <c r="M780" s="43"/>
      <c r="N780" s="43"/>
      <c r="O780" s="43"/>
      <c r="P780" s="43"/>
      <c r="Q780" s="43"/>
      <c r="R780" s="39" t="e">
        <f>VLOOKUP((D781),'Pwr Factor'!$A$1:$B$52,2)</f>
        <v>#N/A</v>
      </c>
      <c r="S780" s="51">
        <v>0.25</v>
      </c>
      <c r="T780" s="43"/>
      <c r="U780" s="43"/>
      <c r="V780" s="43"/>
      <c r="W780" s="43"/>
      <c r="X780" s="43"/>
      <c r="Y780" s="43"/>
      <c r="Z780" s="43"/>
      <c r="AA780" s="43"/>
      <c r="AB780" s="19"/>
      <c r="AC780" s="115"/>
    </row>
    <row r="781" spans="1:29" ht="13" x14ac:dyDescent="0.3">
      <c r="A781" s="57" t="s">
        <v>158</v>
      </c>
      <c r="B781" s="111">
        <f>IF(AND('AES Indiana Sep 23 Bill Calc.'!$D$17="HL1",'AES Indiana Sep 23 Bill Calc.'!$D$18="Yes 25%",'AES Indiana Sep 23 Bill Calc.'!$D$20="Yes 2023"),'AES Indiana Sep 23 Bill Calc.'!$D$19,-1)</f>
        <v>-1</v>
      </c>
      <c r="C781" s="111">
        <f>MAX(E781,$C$701)</f>
        <v>2000</v>
      </c>
      <c r="D781" s="111" t="b">
        <f>IF(AND('AES Indiana Sep 23 Bill Calc.'!$D$17="HL1",'AES Indiana Sep 23 Bill Calc.'!$D$18="Yes 25%",'AES Indiana Sep 23 Bill Calc.'!$D$20="Yes 2022"),'AES Indiana Sep 23 Bill Calc.'!$D$22)</f>
        <v>0</v>
      </c>
      <c r="E781" s="111" t="b">
        <f>IF(AND('AES Indiana Sep 23 Bill Calc.'!$D$17="HL1",'AES Indiana Sep 23 Bill Calc.'!$D$18="Yes 25%",'AES Indiana Sep 23 Bill Calc.'!$D$20="Yes 2022"),'AES Indiana Sep 23 Bill Calc.'!$D$21)</f>
        <v>0</v>
      </c>
      <c r="F781" s="37" t="s">
        <v>300</v>
      </c>
      <c r="G781" s="113" t="e">
        <f>SUM(J781:M781,R781:AA781)</f>
        <v>#N/A</v>
      </c>
      <c r="H781" s="19" t="e">
        <f>IF(ISBLANK(B781),0,+#REF!/B781)</f>
        <v>#REF!</v>
      </c>
      <c r="I781" s="19"/>
      <c r="J781" s="108">
        <f>IF(ISBLANK(B781),0,+J$702)</f>
        <v>132.97999999999999</v>
      </c>
      <c r="K781" s="43">
        <f>ROUND($B781*K$702,2)</f>
        <v>-0.04</v>
      </c>
      <c r="L781" s="16">
        <f>IF(ISBLANK($C781),0,IF($C781&lt;$C$703,ROUND($C$703*$L$702,2),IF($C781&gt;L$703,ROUND(L$703*L$702,2),ROUND($C781*L$702,2))))</f>
        <v>45760</v>
      </c>
      <c r="M781" s="17">
        <f>IF($C781&gt;L$703,ROUND(($C781-L$703)*M$702,2),0)</f>
        <v>0</v>
      </c>
      <c r="N781" s="17">
        <f>K781</f>
        <v>-0.04</v>
      </c>
      <c r="O781" s="43"/>
      <c r="P781" s="43"/>
      <c r="Q781" s="17">
        <f>SUM(L781:M781)</f>
        <v>45760</v>
      </c>
      <c r="R781" s="101" t="e">
        <f>ROUND(SUM(K781:M781)*(R780-1),2)</f>
        <v>#N/A</v>
      </c>
      <c r="S781" s="43">
        <f>ROUND($B781*S$702*S780,2)</f>
        <v>0</v>
      </c>
      <c r="T781" s="43">
        <f>ROUND($B781*T$702,2)</f>
        <v>0</v>
      </c>
      <c r="U781" s="43">
        <f>ROUND($B781*U$702,2)</f>
        <v>0</v>
      </c>
      <c r="V781" s="43">
        <f>ROUND($B781*V$700,2)</f>
        <v>0</v>
      </c>
      <c r="W781" s="43">
        <f>ROUND($B781*W$702,2)</f>
        <v>0</v>
      </c>
      <c r="X781" s="43">
        <f>ROUND($B781*X$702,2)</f>
        <v>0</v>
      </c>
      <c r="Y781" s="43">
        <f>ROUND($B781*Y$702,2)</f>
        <v>0</v>
      </c>
      <c r="Z781" s="43">
        <f>ROUND($B781*Z$702,2)</f>
        <v>0</v>
      </c>
      <c r="AA781" s="43">
        <f>ROUND($B781*AA$702,2)</f>
        <v>0</v>
      </c>
      <c r="AB781" s="19">
        <f>SUM(U760:AA760)</f>
        <v>0</v>
      </c>
      <c r="AC781" s="115" t="str">
        <f>+F781</f>
        <v>HL13</v>
      </c>
    </row>
    <row r="782" spans="1:29" ht="13" x14ac:dyDescent="0.3">
      <c r="A782" s="9"/>
      <c r="B782" s="128">
        <v>-1</v>
      </c>
      <c r="D782" s="42"/>
      <c r="E782" s="96"/>
      <c r="F782" s="37"/>
      <c r="G782" s="120"/>
      <c r="H782" s="19"/>
      <c r="I782" s="19"/>
      <c r="J782" s="108"/>
      <c r="K782" s="43"/>
      <c r="L782" s="101"/>
      <c r="M782" s="43"/>
      <c r="N782" s="43"/>
      <c r="O782" s="43"/>
      <c r="P782" s="43"/>
      <c r="Q782" s="43"/>
      <c r="R782" s="39" t="e">
        <f>VLOOKUP((D783),'Pwr Factor'!$A$1:$B$52,2)</f>
        <v>#N/A</v>
      </c>
      <c r="S782" s="51">
        <v>0.1</v>
      </c>
      <c r="T782" s="43"/>
      <c r="U782" s="43"/>
      <c r="V782" s="43"/>
      <c r="W782" s="43"/>
      <c r="X782" s="43"/>
      <c r="Y782" s="43"/>
      <c r="Z782" s="43"/>
      <c r="AA782" s="43"/>
      <c r="AB782" s="19"/>
      <c r="AC782" s="115"/>
    </row>
    <row r="783" spans="1:29" ht="13" x14ac:dyDescent="0.3">
      <c r="A783" s="57" t="s">
        <v>173</v>
      </c>
      <c r="B783" s="111">
        <f>IF(AND('AES Indiana Sep 23 Bill Calc.'!$D$17="HL1",'AES Indiana Sep 23 Bill Calc.'!$D$18="Yes 10%",'AES Indiana Sep 23 Bill Calc.'!$D$20="Yes 2023"),'AES Indiana Sep 23 Bill Calc.'!$D$19,-1)</f>
        <v>-1</v>
      </c>
      <c r="C783" s="111">
        <f>MAX(E783,$C$701)</f>
        <v>2000</v>
      </c>
      <c r="D783" s="111" t="b">
        <f>IF(AND('AES Indiana Sep 23 Bill Calc.'!$D$17="HL1",'AES Indiana Sep 23 Bill Calc.'!$D$18="Yes 10%",'AES Indiana Sep 23 Bill Calc.'!$D$20="Yes 2022"),'AES Indiana Sep 23 Bill Calc.'!$D$22)</f>
        <v>0</v>
      </c>
      <c r="E783" s="111" t="b">
        <f>IF(AND('AES Indiana Sep 23 Bill Calc.'!$D$17="HL1",'AES Indiana Sep 23 Bill Calc.'!$D$18="Yes 10%",'AES Indiana Sep 23 Bill Calc.'!$D$20="Yes 2022"),'AES Indiana Sep 23 Bill Calc.'!$D$21)</f>
        <v>0</v>
      </c>
      <c r="F783" s="37" t="s">
        <v>300</v>
      </c>
      <c r="G783" s="113" t="e">
        <f>SUM(J783:M783,R783:AA783)</f>
        <v>#N/A</v>
      </c>
      <c r="H783" s="19" t="e">
        <f>IF(ISBLANK(B783),0,+#REF!/B783)</f>
        <v>#REF!</v>
      </c>
      <c r="I783" s="19"/>
      <c r="J783" s="108">
        <f>IF(ISBLANK(B783),0,+J$702)</f>
        <v>132.97999999999999</v>
      </c>
      <c r="K783" s="43">
        <f>ROUND($B783*K$702,2)</f>
        <v>-0.04</v>
      </c>
      <c r="L783" s="16">
        <f>IF(ISBLANK($C783),0,IF($C783&lt;$C$703,ROUND($C$703*$L$702,2),IF($C783&gt;L$703,ROUND(L$703*L$702,2),ROUND($C783*L$702,2))))</f>
        <v>45760</v>
      </c>
      <c r="M783" s="17">
        <f>IF($C783&gt;L$703,ROUND(($C783-L$703)*M$702,2),0)</f>
        <v>0</v>
      </c>
      <c r="N783" s="17">
        <f>K783</f>
        <v>-0.04</v>
      </c>
      <c r="O783" s="43"/>
      <c r="P783" s="43"/>
      <c r="Q783" s="17">
        <f>SUM(L783:M783)</f>
        <v>45760</v>
      </c>
      <c r="R783" s="101" t="e">
        <f>ROUND(SUM(K783:M783)*(R782-1),2)</f>
        <v>#N/A</v>
      </c>
      <c r="S783" s="43">
        <f>ROUND($B783*S$702*S782,2)</f>
        <v>0</v>
      </c>
      <c r="T783" s="43">
        <f>ROUND($B783*T$702,2)</f>
        <v>0</v>
      </c>
      <c r="U783" s="43">
        <f>ROUND($B783*U$702,2)</f>
        <v>0</v>
      </c>
      <c r="V783" s="43">
        <f>ROUND($B783*V$701,2)</f>
        <v>0</v>
      </c>
      <c r="W783" s="43">
        <f>ROUND($B783*W$702,2)</f>
        <v>0</v>
      </c>
      <c r="X783" s="43">
        <f>ROUND($B783*X$702,2)</f>
        <v>0</v>
      </c>
      <c r="Y783" s="43">
        <f>ROUND($B783*Y$702,2)</f>
        <v>0</v>
      </c>
      <c r="Z783" s="43">
        <f>ROUND($B783*Z$702,2)</f>
        <v>0</v>
      </c>
      <c r="AA783" s="43">
        <f>ROUND($B783*AA$702,2)</f>
        <v>0</v>
      </c>
      <c r="AB783" s="19">
        <f>SUM(U762:AA762)</f>
        <v>0</v>
      </c>
      <c r="AC783" s="115" t="str">
        <f>+F783</f>
        <v>HL13</v>
      </c>
    </row>
    <row r="784" spans="1:29" ht="13" x14ac:dyDescent="0.3">
      <c r="A784" s="9"/>
      <c r="B784" s="128">
        <v>-1</v>
      </c>
      <c r="D784" s="42"/>
      <c r="E784" s="96"/>
      <c r="F784" s="37"/>
      <c r="G784" s="120"/>
      <c r="H784" s="19"/>
      <c r="I784" s="19"/>
      <c r="J784" s="108"/>
      <c r="K784" s="43"/>
      <c r="L784" s="101"/>
      <c r="M784" s="43"/>
      <c r="N784" s="43"/>
      <c r="O784" s="43"/>
      <c r="P784" s="43"/>
      <c r="Q784" s="43"/>
      <c r="R784" s="39" t="e">
        <f>VLOOKUP((D785),'Pwr Factor'!$A$1:$B$52,2)</f>
        <v>#N/A</v>
      </c>
      <c r="S784" s="51">
        <v>0</v>
      </c>
      <c r="T784" s="43"/>
      <c r="U784" s="43"/>
      <c r="V784" s="43"/>
      <c r="W784" s="43"/>
      <c r="X784" s="43"/>
      <c r="Y784" s="43"/>
      <c r="Z784" s="43"/>
      <c r="AA784" s="43"/>
      <c r="AB784" s="19"/>
      <c r="AC784" s="115"/>
    </row>
    <row r="785" spans="1:29" ht="13" x14ac:dyDescent="0.3">
      <c r="A785" s="57" t="s">
        <v>172</v>
      </c>
      <c r="B785" s="111">
        <f>IF(AND('AES Indiana Sep 23 Bill Calc.'!$D$17="HL1",'AES Indiana Sep 23 Bill Calc.'!$D$18="No",'AES Indiana Sep 23 Bill Calc.'!$D$20="Yes 2023"),'AES Indiana Sep 23 Bill Calc.'!$D$19,-1)</f>
        <v>-1</v>
      </c>
      <c r="C785" s="111">
        <f>MAX(E785,$C$701)</f>
        <v>2000</v>
      </c>
      <c r="D785" s="111" t="b">
        <f>IF(AND('AES Indiana Sep 23 Bill Calc.'!$D$17="HL1",'AES Indiana Sep 23 Bill Calc.'!$D$18="No",'AES Indiana Sep 23 Bill Calc.'!$D$20="Yes 2022"),'AES Indiana Sep 23 Bill Calc.'!$D$22)</f>
        <v>0</v>
      </c>
      <c r="E785" s="111" t="b">
        <f>IF(AND('AES Indiana Sep 23 Bill Calc.'!$D$17="HL1",'AES Indiana Sep 23 Bill Calc.'!$D$18="No",'AES Indiana Sep 23 Bill Calc.'!$D$20="Yes 2022"),'AES Indiana Sep 23 Bill Calc.'!$D$21)</f>
        <v>0</v>
      </c>
      <c r="F785" s="37" t="s">
        <v>300</v>
      </c>
      <c r="G785" s="113" t="e">
        <f>SUM(J785:M785,R785:AA785)</f>
        <v>#N/A</v>
      </c>
      <c r="H785" s="19" t="e">
        <f>IF(ISBLANK(B785),0,+#REF!/B785)</f>
        <v>#REF!</v>
      </c>
      <c r="I785" s="19"/>
      <c r="J785" s="108">
        <f>IF(ISBLANK(B785),0,+J$702)</f>
        <v>132.97999999999999</v>
      </c>
      <c r="K785" s="43">
        <f>ROUND($B785*K$702,2)</f>
        <v>-0.04</v>
      </c>
      <c r="L785" s="16">
        <f>IF(ISBLANK($C785),0,IF($C785&lt;$C$703,ROUND($C$703*$L$702,2),IF($C785&gt;L$703,ROUND(L$703*L$702,2),ROUND($C785*L$702,2))))</f>
        <v>45760</v>
      </c>
      <c r="M785" s="17">
        <f>IF($C785&gt;L$703,ROUND(($C785-L$703)*M$702,2),0)</f>
        <v>0</v>
      </c>
      <c r="N785" s="17">
        <f>K785</f>
        <v>-0.04</v>
      </c>
      <c r="O785" s="43"/>
      <c r="P785" s="43"/>
      <c r="Q785" s="17">
        <f>SUM(L785:M785)</f>
        <v>45760</v>
      </c>
      <c r="R785" s="101" t="e">
        <f>ROUND(SUM(K785:M785)*(R784-1),2)</f>
        <v>#N/A</v>
      </c>
      <c r="S785" s="43">
        <f>ROUND($B785*S$702*S784,2)</f>
        <v>0</v>
      </c>
      <c r="T785" s="43">
        <f>ROUND($B785*T$702,2)</f>
        <v>0</v>
      </c>
      <c r="U785" s="43">
        <f>ROUND($B785*U$702,2)</f>
        <v>0</v>
      </c>
      <c r="V785" s="43">
        <f>ROUND($B785*V$701,2)</f>
        <v>0</v>
      </c>
      <c r="W785" s="43">
        <f>ROUND($B785*W$702,2)</f>
        <v>0</v>
      </c>
      <c r="X785" s="43">
        <f>ROUND($B785*X$702,2)</f>
        <v>0</v>
      </c>
      <c r="Y785" s="43">
        <f>ROUND($B785*Y$702,2)</f>
        <v>0</v>
      </c>
      <c r="Z785" s="43">
        <f>ROUND($B785*Z$702,2)</f>
        <v>0</v>
      </c>
      <c r="AA785" s="43">
        <f>ROUND($B785*AA$702,2)</f>
        <v>0</v>
      </c>
      <c r="AB785" s="19">
        <f>SUM(U764:AA764)</f>
        <v>0</v>
      </c>
      <c r="AC785" s="115" t="str">
        <f>+F785</f>
        <v>HL13</v>
      </c>
    </row>
    <row r="786" spans="1:29" ht="13" x14ac:dyDescent="0.3">
      <c r="A786" s="56"/>
      <c r="B786" s="111">
        <v>-1</v>
      </c>
      <c r="C786" s="9"/>
      <c r="D786" s="8"/>
      <c r="F786" s="37"/>
      <c r="G786" s="43"/>
      <c r="H786" s="19"/>
      <c r="J786" s="108"/>
      <c r="K786" s="43"/>
      <c r="L786" s="101"/>
      <c r="M786" s="43"/>
      <c r="N786" s="43"/>
      <c r="O786" s="43"/>
      <c r="P786" s="43"/>
      <c r="Q786" s="43"/>
      <c r="R786" s="101"/>
      <c r="S786" s="43"/>
      <c r="T786" s="43"/>
      <c r="U786" s="43"/>
      <c r="V786" s="42"/>
      <c r="W786" s="43"/>
      <c r="X786" s="43"/>
      <c r="Y786" s="43"/>
      <c r="Z786" s="43"/>
      <c r="AA786" s="43"/>
      <c r="AB786" s="19"/>
      <c r="AC786" s="78"/>
    </row>
    <row r="787" spans="1:29" x14ac:dyDescent="0.25">
      <c r="B787" s="111">
        <v>-1</v>
      </c>
      <c r="C787" s="9"/>
      <c r="D787" s="8"/>
      <c r="R787">
        <v>6571.2</v>
      </c>
      <c r="V787" s="19">
        <f>+T8</f>
        <v>0</v>
      </c>
      <c r="W787" s="6" t="s">
        <v>93</v>
      </c>
      <c r="AB787" s="19">
        <f>+AB$796-V$796+V787</f>
        <v>2.1570000000000001E-3</v>
      </c>
    </row>
    <row r="788" spans="1:29" x14ac:dyDescent="0.25">
      <c r="B788" s="111">
        <v>-1</v>
      </c>
      <c r="C788" s="9"/>
      <c r="D788" s="8"/>
      <c r="L788" t="s">
        <v>30</v>
      </c>
      <c r="M788" t="s">
        <v>30</v>
      </c>
      <c r="S788" s="6"/>
      <c r="T788" s="6"/>
      <c r="U788" s="6"/>
      <c r="V788" s="27">
        <f>+$T$12</f>
        <v>0</v>
      </c>
      <c r="W788" s="6" t="s">
        <v>100</v>
      </c>
      <c r="X788" s="6"/>
      <c r="Y788" s="6"/>
      <c r="Z788" s="6"/>
      <c r="AA788" s="6"/>
      <c r="AB788" s="19" t="e">
        <f>+AB$796-V$796+#REF!</f>
        <v>#REF!</v>
      </c>
    </row>
    <row r="789" spans="1:29" x14ac:dyDescent="0.25">
      <c r="B789" s="111">
        <v>-1</v>
      </c>
      <c r="C789" s="9"/>
      <c r="D789" s="8"/>
      <c r="S789" s="6"/>
      <c r="T789" s="6"/>
      <c r="U789" s="6"/>
      <c r="V789" s="27">
        <f>+$T$14</f>
        <v>0</v>
      </c>
      <c r="W789" s="6" t="s">
        <v>114</v>
      </c>
      <c r="X789" s="6"/>
      <c r="Y789" s="6"/>
      <c r="Z789" s="6"/>
      <c r="AA789" s="6"/>
      <c r="AB789" s="19">
        <f>+AB$796-V$796+V788</f>
        <v>2.1570000000000001E-3</v>
      </c>
    </row>
    <row r="790" spans="1:29" x14ac:dyDescent="0.25">
      <c r="B790" s="111">
        <v>-1</v>
      </c>
      <c r="C790" s="9"/>
      <c r="D790" s="8"/>
      <c r="S790" s="6"/>
      <c r="T790" s="6"/>
      <c r="U790" s="6"/>
      <c r="V790" s="27">
        <f>$T$16</f>
        <v>1.18E-4</v>
      </c>
      <c r="W790" s="6" t="s">
        <v>121</v>
      </c>
      <c r="X790" s="6"/>
      <c r="Y790" s="6"/>
      <c r="Z790" s="6"/>
      <c r="AA790" s="6"/>
      <c r="AB790" s="19"/>
    </row>
    <row r="791" spans="1:29" x14ac:dyDescent="0.25">
      <c r="B791" s="111">
        <v>-1</v>
      </c>
      <c r="C791" s="9"/>
      <c r="D791" s="8"/>
      <c r="S791" s="6"/>
      <c r="T791" s="6"/>
      <c r="U791" s="6"/>
      <c r="V791" s="27">
        <f>$T$19</f>
        <v>4.8799999999999999E-4</v>
      </c>
      <c r="W791" s="6" t="s">
        <v>140</v>
      </c>
      <c r="X791" s="6"/>
      <c r="Y791" s="6"/>
      <c r="Z791" s="6"/>
      <c r="AA791" s="6"/>
      <c r="AB791" s="19"/>
    </row>
    <row r="792" spans="1:29" x14ac:dyDescent="0.25">
      <c r="B792" s="111">
        <v>-1</v>
      </c>
      <c r="C792" s="9"/>
      <c r="D792" s="8"/>
      <c r="S792" s="6"/>
      <c r="T792" s="6"/>
      <c r="U792" s="6"/>
      <c r="V792" s="27">
        <f>$T$21</f>
        <v>1.0330000000000001E-3</v>
      </c>
      <c r="W792" s="6" t="s">
        <v>93</v>
      </c>
      <c r="X792" s="6"/>
      <c r="Y792" s="6"/>
      <c r="Z792" s="6"/>
      <c r="AA792" s="6"/>
      <c r="AB792" s="19"/>
    </row>
    <row r="793" spans="1:29" x14ac:dyDescent="0.25">
      <c r="B793" s="111">
        <v>-1</v>
      </c>
      <c r="C793" s="9"/>
      <c r="D793" s="8"/>
      <c r="S793" s="6"/>
      <c r="T793" s="6"/>
      <c r="U793" s="6"/>
      <c r="V793" s="27">
        <f>$T$23</f>
        <v>1.763E-3</v>
      </c>
      <c r="W793" s="6" t="s">
        <v>164</v>
      </c>
      <c r="X793" s="6"/>
      <c r="Y793" s="6"/>
      <c r="Z793" s="6"/>
      <c r="AA793" s="6"/>
      <c r="AB793" s="19"/>
    </row>
    <row r="794" spans="1:29" x14ac:dyDescent="0.25">
      <c r="B794" s="111">
        <v>-1</v>
      </c>
      <c r="C794" s="9"/>
      <c r="D794" s="8"/>
      <c r="S794" s="6"/>
      <c r="T794" s="6"/>
      <c r="U794" s="6"/>
      <c r="V794" s="27">
        <f>$T$25</f>
        <v>0</v>
      </c>
      <c r="W794" s="6" t="s">
        <v>177</v>
      </c>
      <c r="X794" s="6"/>
      <c r="Y794" s="6"/>
      <c r="Z794" s="6"/>
      <c r="AA794" s="6"/>
      <c r="AB794" s="19"/>
    </row>
    <row r="795" spans="1:29" x14ac:dyDescent="0.25">
      <c r="B795" s="111">
        <v>-1</v>
      </c>
      <c r="C795" s="9"/>
      <c r="D795" s="8"/>
      <c r="S795" s="6"/>
      <c r="T795" s="6"/>
      <c r="U795" s="6"/>
      <c r="V795" s="19">
        <f>T27</f>
        <v>3.6970000000000002E-3</v>
      </c>
      <c r="W795" s="6" t="s">
        <v>294</v>
      </c>
      <c r="X795" s="6"/>
      <c r="Y795" s="6"/>
      <c r="Z795" s="6"/>
      <c r="AA795" s="6"/>
      <c r="AB795" s="19"/>
    </row>
    <row r="796" spans="1:29" x14ac:dyDescent="0.25">
      <c r="B796" s="111">
        <v>-1</v>
      </c>
      <c r="C796" s="9"/>
      <c r="D796" s="8"/>
      <c r="F796" s="82"/>
      <c r="G796" s="82"/>
      <c r="H796" s="82"/>
      <c r="I796" s="82"/>
      <c r="J796" s="84">
        <v>211.78</v>
      </c>
      <c r="K796" s="83">
        <v>3.5135E-2</v>
      </c>
      <c r="L796" s="84">
        <v>22.15</v>
      </c>
      <c r="M796" s="84">
        <v>22.15</v>
      </c>
      <c r="N796" s="84"/>
      <c r="O796" s="84"/>
      <c r="P796" s="84"/>
      <c r="Q796" s="84"/>
      <c r="R796" s="5"/>
      <c r="S796" s="27">
        <f>+S608</f>
        <v>3.0000000000000001E-3</v>
      </c>
      <c r="T796" s="27">
        <f>+T608</f>
        <v>-3.1020000000000002E-3</v>
      </c>
      <c r="U796" s="27">
        <f>+$S$28</f>
        <v>1.206E-3</v>
      </c>
      <c r="V796" s="27">
        <f>+V608</f>
        <v>6.1199999999999996E-3</v>
      </c>
      <c r="W796" s="27">
        <f>+W608</f>
        <v>0</v>
      </c>
      <c r="X796" s="27">
        <f>+X702</f>
        <v>5.3899999999999998E-4</v>
      </c>
      <c r="Y796" s="27">
        <f>+Y702</f>
        <v>1.39E-3</v>
      </c>
      <c r="Z796" s="27">
        <f>+Z702</f>
        <v>-9.7799999999999992E-4</v>
      </c>
      <c r="AA796" s="27">
        <f>+AA702</f>
        <v>2.1900000000000001E-4</v>
      </c>
      <c r="AB796" s="19">
        <f>SUM(U796:Z796)</f>
        <v>8.2769999999999996E-3</v>
      </c>
    </row>
    <row r="797" spans="1:29" x14ac:dyDescent="0.25">
      <c r="A797" s="1"/>
      <c r="B797" s="111">
        <v>-1</v>
      </c>
      <c r="C797" s="9"/>
      <c r="D797" s="8"/>
      <c r="F797" s="82"/>
      <c r="G797" s="82"/>
      <c r="H797" s="82"/>
      <c r="I797" s="82"/>
      <c r="J797" s="82"/>
      <c r="K797" s="82"/>
      <c r="L797" s="85">
        <v>4000</v>
      </c>
      <c r="M797" s="82"/>
      <c r="N797" s="82"/>
      <c r="O797" s="82"/>
      <c r="P797" s="82"/>
      <c r="Q797" s="82"/>
    </row>
    <row r="798" spans="1:29" x14ac:dyDescent="0.25">
      <c r="B798" s="111">
        <v>-1</v>
      </c>
      <c r="C798" s="9"/>
      <c r="D798" s="8"/>
      <c r="F798" s="12"/>
      <c r="J798" s="12" t="s">
        <v>1</v>
      </c>
      <c r="K798" s="12" t="s">
        <v>31</v>
      </c>
      <c r="L798" s="256" t="s">
        <v>32</v>
      </c>
      <c r="M798" s="256"/>
      <c r="N798" s="12"/>
      <c r="O798" s="12"/>
      <c r="P798" s="12"/>
      <c r="Q798" s="73" t="s">
        <v>175</v>
      </c>
      <c r="R798" s="12" t="s">
        <v>33</v>
      </c>
      <c r="S798" s="12">
        <v>21</v>
      </c>
      <c r="T798" s="12">
        <v>6</v>
      </c>
      <c r="U798" s="12">
        <v>3</v>
      </c>
      <c r="V798" s="12">
        <v>22</v>
      </c>
      <c r="W798" s="12">
        <v>13</v>
      </c>
      <c r="X798" s="12">
        <v>20</v>
      </c>
      <c r="Y798" s="12">
        <v>24</v>
      </c>
      <c r="Z798" s="12">
        <v>25</v>
      </c>
      <c r="AA798" s="12">
        <v>26</v>
      </c>
    </row>
    <row r="799" spans="1:29" x14ac:dyDescent="0.25">
      <c r="A799" s="13"/>
      <c r="B799" s="111">
        <v>-1</v>
      </c>
      <c r="C799" s="122" t="s">
        <v>135</v>
      </c>
      <c r="D799" s="123" t="s">
        <v>136</v>
      </c>
      <c r="E799" s="157" t="s">
        <v>260</v>
      </c>
      <c r="F799" s="13" t="s">
        <v>4</v>
      </c>
      <c r="G799" s="13" t="s">
        <v>12</v>
      </c>
      <c r="H799" s="13" t="s">
        <v>13</v>
      </c>
      <c r="J799" s="13" t="s">
        <v>5</v>
      </c>
      <c r="K799" s="13" t="s">
        <v>5</v>
      </c>
      <c r="L799" s="13" t="s">
        <v>40</v>
      </c>
      <c r="M799" s="13" t="s">
        <v>41</v>
      </c>
      <c r="N799" s="73" t="s">
        <v>176</v>
      </c>
      <c r="O799" s="13"/>
      <c r="P799" s="13"/>
      <c r="Q799" s="13"/>
      <c r="R799" s="13" t="s">
        <v>35</v>
      </c>
      <c r="S799" s="13" t="s">
        <v>70</v>
      </c>
      <c r="T799" s="13" t="s">
        <v>9</v>
      </c>
      <c r="U799" s="80" t="s">
        <v>161</v>
      </c>
      <c r="V799" s="13" t="s">
        <v>79</v>
      </c>
      <c r="W799" s="13" t="s">
        <v>10</v>
      </c>
      <c r="X799" s="13" t="s">
        <v>11</v>
      </c>
      <c r="Y799" s="80" t="s">
        <v>104</v>
      </c>
      <c r="Z799" s="80" t="s">
        <v>105</v>
      </c>
      <c r="AA799" s="80" t="s">
        <v>106</v>
      </c>
      <c r="AB799" s="77" t="s">
        <v>71</v>
      </c>
    </row>
    <row r="800" spans="1:29" ht="13" x14ac:dyDescent="0.3">
      <c r="A800" s="49"/>
      <c r="B800" s="111">
        <v>-1</v>
      </c>
      <c r="D800" s="8"/>
      <c r="E800" s="9"/>
      <c r="F800" s="37"/>
      <c r="G800" s="12"/>
      <c r="H800" s="12"/>
      <c r="J800" s="12"/>
      <c r="K800" s="12"/>
      <c r="L800" s="12"/>
      <c r="M800" s="12"/>
      <c r="N800" s="12"/>
      <c r="O800" s="12"/>
      <c r="P800" s="12"/>
      <c r="Q800" s="12"/>
      <c r="R800" s="16" t="e">
        <f>VLOOKUP((D801),'Pwr Factor'!$A$1:$B$52,2)</f>
        <v>#N/A</v>
      </c>
      <c r="S800" s="51">
        <v>1</v>
      </c>
      <c r="T800" s="12"/>
      <c r="U800" s="12"/>
      <c r="V800" s="12"/>
      <c r="W800" s="12"/>
      <c r="X800" s="12"/>
      <c r="Y800" s="12"/>
      <c r="Z800" s="12"/>
      <c r="AA800" s="12"/>
    </row>
    <row r="801" spans="1:29" ht="13" x14ac:dyDescent="0.3">
      <c r="A801" s="1" t="s">
        <v>73</v>
      </c>
      <c r="B801" s="111">
        <f>IF(AND('AES Indiana Sep 23 Bill Calc.'!$D$17="HL2",'AES Indiana Sep 23 Bill Calc.'!$D$18="Yes 100%",'AES Indiana Sep 23 Bill Calc.'!$D$20="No"),'AES Indiana Sep 23 Bill Calc.'!$D$19,-1)</f>
        <v>-1</v>
      </c>
      <c r="C801" s="111">
        <f>MAX(E801,$C$701)</f>
        <v>2000</v>
      </c>
      <c r="D801" s="111" t="b">
        <f>IF(AND('AES Indiana Sep 23 Bill Calc.'!$D$17="HL2",'AES Indiana Sep 23 Bill Calc.'!$D$18="Yes 100%",'AES Indiana Sep 23 Bill Calc.'!$D$20="No"),'AES Indiana Sep 23 Bill Calc.'!$D$22)</f>
        <v>0</v>
      </c>
      <c r="E801" s="111" t="b">
        <f>IF(AND('AES Indiana Sep 23 Bill Calc.'!$D$17="HL2",'AES Indiana Sep 23 Bill Calc.'!$D$18="Yes 100%",'AES Indiana Sep 23 Bill Calc.'!$D$20="No"),'AES Indiana Sep 23 Bill Calc.'!$D$21)</f>
        <v>0</v>
      </c>
      <c r="F801" s="37" t="s">
        <v>53</v>
      </c>
      <c r="G801" s="113" t="e">
        <f>SUM(J801:M801,R801:AA801)</f>
        <v>#N/A</v>
      </c>
      <c r="H801" s="19" t="e">
        <f>IF(ISBLANK(B801),0,+#REF!/B801)</f>
        <v>#REF!</v>
      </c>
      <c r="I801" s="70"/>
      <c r="J801" s="53">
        <f>IF(ISBLANK(B801),0,+J$796)</f>
        <v>211.78</v>
      </c>
      <c r="K801" s="17">
        <f>ROUND($B801*K$796,2)</f>
        <v>-0.04</v>
      </c>
      <c r="L801" s="17">
        <f>IF(ISBLANK($C801),0,IF($C801&lt;$C$797,ROUND($C$797*$L$796,2),IF($C801&gt;L$797,ROUND(L$797*L$796,2),ROUND($C801*L$796,2))))</f>
        <v>44300</v>
      </c>
      <c r="M801" s="17">
        <f>IF($C801&gt;L$797,ROUND(($C801-L$797)*M$796,2),0)</f>
        <v>0</v>
      </c>
      <c r="N801" s="17">
        <f>K801</f>
        <v>-0.04</v>
      </c>
      <c r="O801" s="17"/>
      <c r="P801" s="17"/>
      <c r="Q801" s="17">
        <f>SUM(L801:M801)</f>
        <v>44300</v>
      </c>
      <c r="R801" s="16" t="e">
        <f>ROUND(SUM(K801:M801)*(R800-1),2)</f>
        <v>#N/A</v>
      </c>
      <c r="S801" s="17">
        <f>ROUND($B801*S$796*S800,2)</f>
        <v>0</v>
      </c>
      <c r="T801" s="17">
        <f t="shared" ref="T801:AA801" si="53">ROUND($B801*T$796,2)</f>
        <v>0</v>
      </c>
      <c r="U801" s="17">
        <f t="shared" si="53"/>
        <v>0</v>
      </c>
      <c r="V801" s="8">
        <f t="shared" si="53"/>
        <v>-0.01</v>
      </c>
      <c r="W801" s="17">
        <f t="shared" si="53"/>
        <v>0</v>
      </c>
      <c r="X801" s="17">
        <f t="shared" si="53"/>
        <v>0</v>
      </c>
      <c r="Y801" s="17">
        <f t="shared" si="53"/>
        <v>0</v>
      </c>
      <c r="Z801" s="17">
        <f t="shared" si="53"/>
        <v>0</v>
      </c>
      <c r="AA801" s="17">
        <f t="shared" si="53"/>
        <v>0</v>
      </c>
      <c r="AB801" s="19">
        <f>SUM(U796:AA796)</f>
        <v>8.4960000000000001E-3</v>
      </c>
      <c r="AC801" s="78" t="str">
        <f>+F801</f>
        <v>HL2</v>
      </c>
    </row>
    <row r="802" spans="1:29" ht="13" x14ac:dyDescent="0.3">
      <c r="A802" s="9"/>
      <c r="B802" s="111">
        <v>-1</v>
      </c>
      <c r="D802" s="8"/>
      <c r="E802" s="9"/>
      <c r="F802" s="37"/>
      <c r="G802" s="12"/>
      <c r="H802" s="12"/>
      <c r="J802" s="12"/>
      <c r="K802" s="12"/>
      <c r="L802" s="12"/>
      <c r="M802" s="12"/>
      <c r="N802" s="12"/>
      <c r="O802" s="12"/>
      <c r="P802" s="12"/>
      <c r="Q802" s="12"/>
      <c r="R802" s="16" t="e">
        <f>VLOOKUP((D803),'Pwr Factor'!$A$1:$B$52,2)</f>
        <v>#N/A</v>
      </c>
      <c r="S802" s="51">
        <v>0.5</v>
      </c>
      <c r="T802" s="12"/>
      <c r="U802" s="12"/>
      <c r="V802" s="12"/>
      <c r="W802" s="12"/>
      <c r="X802" s="12"/>
      <c r="Y802" s="12"/>
      <c r="Z802" s="12"/>
      <c r="AA802" s="12"/>
    </row>
    <row r="803" spans="1:29" ht="13" x14ac:dyDescent="0.3">
      <c r="A803" s="57" t="s">
        <v>171</v>
      </c>
      <c r="B803" s="111">
        <f>IF(AND('AES Indiana Sep 23 Bill Calc.'!$D$17="HL2",'AES Indiana Sep 23 Bill Calc.'!$D$18="Yes 50%",'AES Indiana Sep 23 Bill Calc.'!$D$20="No"),'AES Indiana Sep 23 Bill Calc.'!$D$19,-1)</f>
        <v>-1</v>
      </c>
      <c r="C803" s="111">
        <f>MAX(E803,$C$701)</f>
        <v>2000</v>
      </c>
      <c r="D803" s="111" t="b">
        <f>IF(AND('AES Indiana Sep 23 Bill Calc.'!$D$17="HL2",'AES Indiana Sep 23 Bill Calc.'!$D$18="Yes 50%",'AES Indiana Sep 23 Bill Calc.'!$D$20="No"),'AES Indiana Sep 23 Bill Calc.'!$D$22)</f>
        <v>0</v>
      </c>
      <c r="E803" s="111" t="b">
        <f>IF(AND('AES Indiana Sep 23 Bill Calc.'!$D$17="HL2",'AES Indiana Sep 23 Bill Calc.'!$D$18="Yes 50%",'AES Indiana Sep 23 Bill Calc.'!$D$20="No"),'AES Indiana Sep 23 Bill Calc.'!$D$21)</f>
        <v>0</v>
      </c>
      <c r="F803" s="37" t="s">
        <v>53</v>
      </c>
      <c r="G803" s="113" t="e">
        <f>SUM(J803:M803,R803:AA803)</f>
        <v>#N/A</v>
      </c>
      <c r="H803" s="19" t="e">
        <f>IF(ISBLANK(B803),0,+#REF!/B803)</f>
        <v>#REF!</v>
      </c>
      <c r="I803" s="70"/>
      <c r="J803" s="53">
        <f>IF(ISBLANK(B803),0,+J$796)</f>
        <v>211.78</v>
      </c>
      <c r="K803" s="17">
        <f>ROUND($B803*K$796,2)</f>
        <v>-0.04</v>
      </c>
      <c r="L803" s="17">
        <f>IF(ISBLANK($C803),0,IF($C803&lt;$C$797,ROUND($C$797*$L$796,2),IF($C803&gt;L$797,ROUND(L$797*L$796,2),ROUND($C803*L$796,2))))</f>
        <v>44300</v>
      </c>
      <c r="M803" s="17">
        <f>IF($C803&gt;L$797,ROUND(($C803-L$797)*M$796,2),0)</f>
        <v>0</v>
      </c>
      <c r="N803" s="17">
        <f>K803</f>
        <v>-0.04</v>
      </c>
      <c r="O803" s="17"/>
      <c r="P803" s="17"/>
      <c r="Q803" s="17">
        <f>SUM(L803:M803)</f>
        <v>44300</v>
      </c>
      <c r="R803" s="16" t="e">
        <f>ROUND(SUM(K803:M803)*(R802-1),2)</f>
        <v>#N/A</v>
      </c>
      <c r="S803" s="17">
        <f>ROUND($B803*S$796*S802,2)</f>
        <v>0</v>
      </c>
      <c r="T803" s="17">
        <f t="shared" ref="T803:AA803" si="54">ROUND($B803*T$796,2)</f>
        <v>0</v>
      </c>
      <c r="U803" s="17">
        <f t="shared" si="54"/>
        <v>0</v>
      </c>
      <c r="V803" s="8">
        <f t="shared" si="54"/>
        <v>-0.01</v>
      </c>
      <c r="W803" s="17">
        <f t="shared" si="54"/>
        <v>0</v>
      </c>
      <c r="X803" s="17">
        <f t="shared" si="54"/>
        <v>0</v>
      </c>
      <c r="Y803" s="17">
        <f t="shared" si="54"/>
        <v>0</v>
      </c>
      <c r="Z803" s="17">
        <f t="shared" si="54"/>
        <v>0</v>
      </c>
      <c r="AA803" s="17">
        <f t="shared" si="54"/>
        <v>0</v>
      </c>
      <c r="AB803" s="19">
        <f>SUM(U798:AA798)</f>
        <v>133</v>
      </c>
      <c r="AC803" s="78" t="str">
        <f>+F803</f>
        <v>HL2</v>
      </c>
    </row>
    <row r="804" spans="1:29" ht="13" x14ac:dyDescent="0.3">
      <c r="A804" s="9"/>
      <c r="B804" s="111">
        <v>-1</v>
      </c>
      <c r="D804" s="8"/>
      <c r="E804" s="9"/>
      <c r="F804" s="37"/>
      <c r="G804" s="12"/>
      <c r="H804" s="12"/>
      <c r="J804" s="12"/>
      <c r="K804" s="12"/>
      <c r="L804" s="12"/>
      <c r="M804" s="12"/>
      <c r="N804" s="12"/>
      <c r="O804" s="12"/>
      <c r="P804" s="12"/>
      <c r="Q804" s="12"/>
      <c r="R804" s="16" t="e">
        <f>VLOOKUP((D805),'Pwr Factor'!$A$1:$B$52,2)</f>
        <v>#N/A</v>
      </c>
      <c r="S804" s="51">
        <v>0.25</v>
      </c>
      <c r="T804" s="12"/>
      <c r="U804" s="12"/>
      <c r="V804" s="12"/>
      <c r="W804" s="12"/>
      <c r="X804" s="12"/>
      <c r="Y804" s="12"/>
      <c r="Z804" s="12"/>
      <c r="AA804" s="12"/>
    </row>
    <row r="805" spans="1:29" ht="13" x14ac:dyDescent="0.3">
      <c r="A805" s="57" t="s">
        <v>158</v>
      </c>
      <c r="B805" s="111">
        <f>IF(AND('AES Indiana Sep 23 Bill Calc.'!$D$17="HL2",'AES Indiana Sep 23 Bill Calc.'!$D$18="Yes 25%",'AES Indiana Sep 23 Bill Calc.'!$D$20="No"),'AES Indiana Sep 23 Bill Calc.'!$D$19,-1)</f>
        <v>-1</v>
      </c>
      <c r="C805" s="111">
        <f>MAX(E805,$C$701)</f>
        <v>2000</v>
      </c>
      <c r="D805" s="111" t="b">
        <f>IF(AND('AES Indiana Sep 23 Bill Calc.'!$D$17="HL2",'AES Indiana Sep 23 Bill Calc.'!$D$18="Yes 25%",'AES Indiana Sep 23 Bill Calc.'!$D$20="No"),'AES Indiana Sep 23 Bill Calc.'!$D$22)</f>
        <v>0</v>
      </c>
      <c r="E805" s="111" t="b">
        <f>IF(AND('AES Indiana Sep 23 Bill Calc.'!$D$17="HL2",'AES Indiana Sep 23 Bill Calc.'!$D$18="Yes 25%",'AES Indiana Sep 23 Bill Calc.'!$D$20="No"),'AES Indiana Sep 23 Bill Calc.'!$D$21)</f>
        <v>0</v>
      </c>
      <c r="F805" s="37" t="s">
        <v>53</v>
      </c>
      <c r="G805" s="113" t="e">
        <f>SUM(J805:M805,R805:AA805)</f>
        <v>#N/A</v>
      </c>
      <c r="H805" s="19" t="e">
        <f>IF(ISBLANK(B805),0,+#REF!/B805)</f>
        <v>#REF!</v>
      </c>
      <c r="I805" s="70"/>
      <c r="J805" s="53">
        <f>IF(ISBLANK(B805),0,+J$796)</f>
        <v>211.78</v>
      </c>
      <c r="K805" s="17">
        <f>ROUND($B805*K$796,2)</f>
        <v>-0.04</v>
      </c>
      <c r="L805" s="17">
        <f>IF(ISBLANK($C805),0,IF($C805&lt;$C$797,ROUND($C$797*$L$796,2),IF($C805&gt;L$797,ROUND(L$797*L$796,2),ROUND($C805*L$796,2))))</f>
        <v>44300</v>
      </c>
      <c r="M805" s="17">
        <f>IF($C805&gt;L$797,ROUND(($C805-L$797)*M$796,2),0)</f>
        <v>0</v>
      </c>
      <c r="N805" s="17">
        <f>K805</f>
        <v>-0.04</v>
      </c>
      <c r="O805" s="17"/>
      <c r="P805" s="17"/>
      <c r="Q805" s="17">
        <f>SUM(L805:M805)</f>
        <v>44300</v>
      </c>
      <c r="R805" s="16" t="e">
        <f>ROUND(SUM(K805:M805)*(R804-1),2)</f>
        <v>#N/A</v>
      </c>
      <c r="S805" s="17">
        <f>ROUND($B805*S$796*S804,2)</f>
        <v>0</v>
      </c>
      <c r="T805" s="17">
        <f t="shared" ref="T805:AA805" si="55">ROUND($B805*T$796,2)</f>
        <v>0</v>
      </c>
      <c r="U805" s="17">
        <f t="shared" si="55"/>
        <v>0</v>
      </c>
      <c r="V805" s="8">
        <f t="shared" si="55"/>
        <v>-0.01</v>
      </c>
      <c r="W805" s="17">
        <f t="shared" si="55"/>
        <v>0</v>
      </c>
      <c r="X805" s="17">
        <f t="shared" si="55"/>
        <v>0</v>
      </c>
      <c r="Y805" s="17">
        <f t="shared" si="55"/>
        <v>0</v>
      </c>
      <c r="Z805" s="17">
        <f t="shared" si="55"/>
        <v>0</v>
      </c>
      <c r="AA805" s="17">
        <f t="shared" si="55"/>
        <v>0</v>
      </c>
      <c r="AB805" s="19">
        <f>SUM(U800:AA800)</f>
        <v>0</v>
      </c>
      <c r="AC805" s="78" t="str">
        <f>+F805</f>
        <v>HL2</v>
      </c>
    </row>
    <row r="806" spans="1:29" ht="13" x14ac:dyDescent="0.3">
      <c r="A806" s="9"/>
      <c r="B806" s="111">
        <v>-1</v>
      </c>
      <c r="D806" s="8"/>
      <c r="E806" s="9"/>
      <c r="F806" s="37"/>
      <c r="G806" s="12"/>
      <c r="H806" s="12"/>
      <c r="J806" s="12"/>
      <c r="K806" s="12"/>
      <c r="L806" s="12"/>
      <c r="M806" s="12"/>
      <c r="N806" s="12"/>
      <c r="O806" s="12"/>
      <c r="P806" s="12"/>
      <c r="Q806" s="12"/>
      <c r="R806" s="16" t="e">
        <f>VLOOKUP((D807),'Pwr Factor'!$A$1:$B$52,2)</f>
        <v>#N/A</v>
      </c>
      <c r="S806" s="51">
        <v>0.1</v>
      </c>
      <c r="T806" s="12"/>
      <c r="U806" s="12"/>
      <c r="V806" s="12"/>
      <c r="W806" s="12"/>
      <c r="X806" s="12"/>
      <c r="Y806" s="12"/>
      <c r="Z806" s="12"/>
      <c r="AA806" s="12"/>
    </row>
    <row r="807" spans="1:29" ht="13" x14ac:dyDescent="0.3">
      <c r="A807" s="57" t="s">
        <v>173</v>
      </c>
      <c r="B807" s="111">
        <f>IF(AND('AES Indiana Sep 23 Bill Calc.'!$D$17="HL2",'AES Indiana Sep 23 Bill Calc.'!$D$18="Yes 10%",'AES Indiana Sep 23 Bill Calc.'!$D$20="No"),'AES Indiana Sep 23 Bill Calc.'!$D$19,-1)</f>
        <v>-1</v>
      </c>
      <c r="C807" s="111">
        <f>MAX(E807,$C$701)</f>
        <v>2000</v>
      </c>
      <c r="D807" s="111" t="b">
        <f>IF(AND('AES Indiana Sep 23 Bill Calc.'!$D$17="HL2",'AES Indiana Sep 23 Bill Calc.'!$D$18="Yes 10%",'AES Indiana Sep 23 Bill Calc.'!$D$20="No"),'AES Indiana Sep 23 Bill Calc.'!$D$22)</f>
        <v>0</v>
      </c>
      <c r="E807" s="111" t="b">
        <f>IF(AND('AES Indiana Sep 23 Bill Calc.'!$D$17="HL2",'AES Indiana Sep 23 Bill Calc.'!$D$18="Yes 10%",'AES Indiana Sep 23 Bill Calc.'!$D$20="No"),'AES Indiana Sep 23 Bill Calc.'!$D$21)</f>
        <v>0</v>
      </c>
      <c r="F807" s="37" t="s">
        <v>53</v>
      </c>
      <c r="G807" s="113" t="e">
        <f>SUM(J807:M807,R807:AA807)</f>
        <v>#N/A</v>
      </c>
      <c r="H807" s="19" t="e">
        <f>IF(ISBLANK(B807),0,+#REF!/B807)</f>
        <v>#REF!</v>
      </c>
      <c r="I807" s="70"/>
      <c r="J807" s="53">
        <f>IF(ISBLANK(B807),0,+J$796)</f>
        <v>211.78</v>
      </c>
      <c r="K807" s="17">
        <f>ROUND($B807*K$796,2)</f>
        <v>-0.04</v>
      </c>
      <c r="L807" s="17">
        <f>IF(ISBLANK($C807),0,IF($C807&lt;$C$797,ROUND($C$797*$L$796,2),IF($C807&gt;L$797,ROUND(L$797*L$796,2),ROUND($C807*L$796,2))))</f>
        <v>44300</v>
      </c>
      <c r="M807" s="17">
        <f>IF($C807&gt;L$797,ROUND(($C807-L$797)*M$796,2),0)</f>
        <v>0</v>
      </c>
      <c r="N807" s="17">
        <f>K807</f>
        <v>-0.04</v>
      </c>
      <c r="O807" s="17"/>
      <c r="P807" s="17"/>
      <c r="Q807" s="17">
        <f>SUM(L807:M807)</f>
        <v>44300</v>
      </c>
      <c r="R807" s="16" t="e">
        <f>ROUND(SUM(K807:M807)*(R806-1),2)</f>
        <v>#N/A</v>
      </c>
      <c r="S807" s="17">
        <f>ROUND($B807*S$796*S806,2)</f>
        <v>0</v>
      </c>
      <c r="T807" s="17">
        <f t="shared" ref="T807:AA807" si="56">ROUND($B807*T$796,2)</f>
        <v>0</v>
      </c>
      <c r="U807" s="17">
        <f t="shared" si="56"/>
        <v>0</v>
      </c>
      <c r="V807" s="8">
        <f t="shared" si="56"/>
        <v>-0.01</v>
      </c>
      <c r="W807" s="17">
        <f t="shared" si="56"/>
        <v>0</v>
      </c>
      <c r="X807" s="17">
        <f t="shared" si="56"/>
        <v>0</v>
      </c>
      <c r="Y807" s="17">
        <f t="shared" si="56"/>
        <v>0</v>
      </c>
      <c r="Z807" s="17">
        <f t="shared" si="56"/>
        <v>0</v>
      </c>
      <c r="AA807" s="17">
        <f t="shared" si="56"/>
        <v>0</v>
      </c>
      <c r="AB807" s="19">
        <f>SUM(U802:AA802)</f>
        <v>0</v>
      </c>
      <c r="AC807" s="78" t="str">
        <f>+F807</f>
        <v>HL2</v>
      </c>
    </row>
    <row r="808" spans="1:29" ht="13" x14ac:dyDescent="0.3">
      <c r="A808" s="9"/>
      <c r="B808" s="111">
        <v>-1</v>
      </c>
      <c r="D808" s="8"/>
      <c r="E808" s="9"/>
      <c r="F808" s="37"/>
      <c r="G808" s="12"/>
      <c r="H808" s="12"/>
      <c r="J808" s="12"/>
      <c r="K808" s="12"/>
      <c r="L808" s="12"/>
      <c r="M808" s="12"/>
      <c r="N808" s="12"/>
      <c r="O808" s="12"/>
      <c r="P808" s="12"/>
      <c r="Q808" s="12"/>
      <c r="R808" s="16" t="e">
        <f>VLOOKUP((D809),'Pwr Factor'!$A$1:$B$52,2)</f>
        <v>#N/A</v>
      </c>
      <c r="S808" s="51">
        <v>0</v>
      </c>
      <c r="T808" s="12"/>
      <c r="U808" s="12"/>
      <c r="V808" s="12"/>
      <c r="W808" s="12"/>
      <c r="X808" s="12"/>
      <c r="Y808" s="12"/>
      <c r="Z808" s="12"/>
      <c r="AA808" s="12"/>
    </row>
    <row r="809" spans="1:29" ht="13" x14ac:dyDescent="0.3">
      <c r="A809" s="57" t="s">
        <v>172</v>
      </c>
      <c r="B809" s="111">
        <f>IF(AND('AES Indiana Sep 23 Bill Calc.'!$D$17="HL2",'AES Indiana Sep 23 Bill Calc.'!$D$18="No",'AES Indiana Sep 23 Bill Calc.'!$D$20="No"),'AES Indiana Sep 23 Bill Calc.'!$D$19,-1)</f>
        <v>-1</v>
      </c>
      <c r="C809" s="111">
        <f>MAX(E809,$C$701)</f>
        <v>2000</v>
      </c>
      <c r="D809" s="111" t="b">
        <f>IF(AND('AES Indiana Sep 23 Bill Calc.'!$D$17="HL2",'AES Indiana Sep 23 Bill Calc.'!$D$18="No",'AES Indiana Sep 23 Bill Calc.'!$D$20="No"),'AES Indiana Sep 23 Bill Calc.'!$D$22)</f>
        <v>0</v>
      </c>
      <c r="E809" s="111" t="b">
        <f>IF(AND('AES Indiana Sep 23 Bill Calc.'!$D$17="HL2",'AES Indiana Sep 23 Bill Calc.'!$D$18="No",'AES Indiana Sep 23 Bill Calc.'!$D$20="No"),'AES Indiana Sep 23 Bill Calc.'!$D$21)</f>
        <v>0</v>
      </c>
      <c r="F809" s="37" t="s">
        <v>53</v>
      </c>
      <c r="G809" s="113" t="e">
        <f>SUM(J809:M809,R809:AA809)</f>
        <v>#N/A</v>
      </c>
      <c r="H809" s="19" t="e">
        <f>IF(ISBLANK(B809),0,+#REF!/B809)</f>
        <v>#REF!</v>
      </c>
      <c r="I809" s="70"/>
      <c r="J809" s="53">
        <f t="shared" ref="J809:J840" si="57">IF(ISBLANK(B809),0,+J$796)</f>
        <v>211.78</v>
      </c>
      <c r="K809" s="17">
        <f t="shared" ref="K809:K840" si="58">ROUND($B809*K$796,2)</f>
        <v>-0.04</v>
      </c>
      <c r="L809" s="17">
        <f>IF(ISBLANK($C809),0,IF($C809&lt;$C$797,ROUND($C$797*$L$796,2),IF($C809&gt;L$797,ROUND(L$797*L$796,2),ROUND($C809*L$796,2))))</f>
        <v>44300</v>
      </c>
      <c r="M809" s="17">
        <f>IF($C809&gt;L$797,ROUND(($C809-L$797)*M$796,2),0)</f>
        <v>0</v>
      </c>
      <c r="N809" s="17">
        <f>K809</f>
        <v>-0.04</v>
      </c>
      <c r="O809" s="17"/>
      <c r="P809" s="17"/>
      <c r="Q809" s="17">
        <f>SUM(L809:M809)</f>
        <v>44300</v>
      </c>
      <c r="R809" s="16" t="e">
        <f>ROUND(SUM(K809:M809)*(R808-1),2)</f>
        <v>#N/A</v>
      </c>
      <c r="S809" s="17">
        <f>ROUND($B809*S$796*S808,2)</f>
        <v>0</v>
      </c>
      <c r="T809" s="17">
        <f t="shared" ref="T809:AA809" si="59">ROUND($B809*T$796,2)</f>
        <v>0</v>
      </c>
      <c r="U809" s="17">
        <f t="shared" si="59"/>
        <v>0</v>
      </c>
      <c r="V809" s="8">
        <f t="shared" si="59"/>
        <v>-0.01</v>
      </c>
      <c r="W809" s="17">
        <f t="shared" si="59"/>
        <v>0</v>
      </c>
      <c r="X809" s="17">
        <f t="shared" si="59"/>
        <v>0</v>
      </c>
      <c r="Y809" s="17">
        <f t="shared" si="59"/>
        <v>0</v>
      </c>
      <c r="Z809" s="17">
        <f t="shared" si="59"/>
        <v>0</v>
      </c>
      <c r="AA809" s="17">
        <f t="shared" si="59"/>
        <v>0</v>
      </c>
      <c r="AB809" s="19">
        <f>SUM(U804:AA804)</f>
        <v>0</v>
      </c>
      <c r="AC809" s="78" t="str">
        <f t="shared" ref="AC809:AC840" si="60">+F809</f>
        <v>HL2</v>
      </c>
    </row>
    <row r="810" spans="1:29" ht="13" x14ac:dyDescent="0.3">
      <c r="B810" s="111">
        <v>-1</v>
      </c>
      <c r="D810" s="33"/>
      <c r="E810" s="127"/>
      <c r="F810" s="37"/>
      <c r="G810" s="113"/>
      <c r="H810" s="19" t="e">
        <f>IF(ISBLANK(B810),0,+#REF!/B810)</f>
        <v>#REF!</v>
      </c>
      <c r="J810" s="134">
        <f t="shared" si="57"/>
        <v>211.78</v>
      </c>
      <c r="K810" s="113">
        <f t="shared" si="58"/>
        <v>-0.04</v>
      </c>
      <c r="L810" s="113">
        <f>IF(ISBLANK($E810),0,IF($E810&lt;$C$797,ROUND($C$797*$L$796,2),IF($E810&gt;L$797,ROUND(L$797*L$796,2),ROUND($E810*L$796,2))))</f>
        <v>0</v>
      </c>
      <c r="M810" s="113">
        <f>IF($E810&gt;L$797,ROUND(($E810-L$797)*M$796,2),0)</f>
        <v>0</v>
      </c>
      <c r="N810" s="113"/>
      <c r="O810" s="113"/>
      <c r="P810" s="113"/>
      <c r="Q810" s="113"/>
      <c r="R810" s="16" t="e">
        <f>VLOOKUP((D811),'Pwr Factor'!$A$1:$B$52,2)</f>
        <v>#N/A</v>
      </c>
      <c r="S810" s="51">
        <v>1</v>
      </c>
      <c r="T810" s="113"/>
      <c r="U810" s="113"/>
      <c r="V810" s="33"/>
      <c r="W810" s="113"/>
      <c r="X810" s="113"/>
      <c r="Y810" s="113"/>
      <c r="Z810" s="113"/>
      <c r="AA810" s="113"/>
      <c r="AB810" s="19"/>
      <c r="AC810" s="130">
        <f t="shared" si="60"/>
        <v>0</v>
      </c>
    </row>
    <row r="811" spans="1:29" ht="13" x14ac:dyDescent="0.3">
      <c r="A811" s="1" t="s">
        <v>73</v>
      </c>
      <c r="B811" s="111">
        <f>IF(AND('AES Indiana Sep 23 Bill Calc.'!$D$17="HL2",'AES Indiana Sep 23 Bill Calc.'!$D$18="Yes 100%",'AES Indiana Sep 23 Bill Calc.'!$D$20="Yes Before 2018"),'AES Indiana Sep 23 Bill Calc.'!$D$19,-1)</f>
        <v>-1</v>
      </c>
      <c r="C811" s="111">
        <f>MAX(E811,$C$701)</f>
        <v>2000</v>
      </c>
      <c r="D811" s="111" t="b">
        <f>IF(AND('AES Indiana Sep 23 Bill Calc.'!$D$17="HL2",'AES Indiana Sep 23 Bill Calc.'!$D$18="Yes 100%",'AES Indiana Sep 23 Bill Calc.'!$D$20="Yes Before 2018"),'AES Indiana Sep 23 Bill Calc.'!$D$22)</f>
        <v>0</v>
      </c>
      <c r="E811" s="111" t="b">
        <f>IF(AND('AES Indiana Sep 23 Bill Calc.'!$D$17="HL2",'AES Indiana Sep 23 Bill Calc.'!$D$18="Yes 100%",'AES Indiana Sep 23 Bill Calc.'!$D$20="Yes Before 2018"),'AES Indiana Sep 23 Bill Calc.'!$D$21)</f>
        <v>0</v>
      </c>
      <c r="F811" s="37" t="s">
        <v>117</v>
      </c>
      <c r="G811" s="113" t="e">
        <f>SUM(J811:M811,R811:AA811)</f>
        <v>#N/A</v>
      </c>
      <c r="H811" s="19" t="e">
        <f>IF(ISBLANK(B811),0,+#REF!/B811)</f>
        <v>#REF!</v>
      </c>
      <c r="J811" s="134">
        <f t="shared" si="57"/>
        <v>211.78</v>
      </c>
      <c r="K811" s="113">
        <f t="shared" si="58"/>
        <v>-0.04</v>
      </c>
      <c r="L811" s="17">
        <f>IF(ISBLANK($C811),0,IF($C811&lt;$C$797,ROUND($C$797*$L$796,2),IF($C811&gt;L$797,ROUND(L$797*L$796,2),ROUND($C811*L$796,2))))</f>
        <v>44300</v>
      </c>
      <c r="M811" s="17">
        <f>IF($C811&gt;L$797,ROUND(($C811-L$797)*M$796,2),0)</f>
        <v>0</v>
      </c>
      <c r="N811" s="17">
        <f>K811</f>
        <v>-0.04</v>
      </c>
      <c r="O811" s="113"/>
      <c r="P811" s="113"/>
      <c r="Q811" s="17">
        <f>SUM(L811:M811)</f>
        <v>44300</v>
      </c>
      <c r="R811" s="135" t="e">
        <f>ROUND(SUM(K811:M811)*(R810-1),2)</f>
        <v>#N/A</v>
      </c>
      <c r="S811" s="113">
        <f>ROUND($B811*S$796*S810,2)</f>
        <v>0</v>
      </c>
      <c r="T811" s="113">
        <f>ROUND($B811*T$796,2)</f>
        <v>0</v>
      </c>
      <c r="U811" s="113">
        <f>ROUND($B811*U$796,2)</f>
        <v>0</v>
      </c>
      <c r="V811" s="33">
        <f>ROUND($B811*$V$789,2)</f>
        <v>0</v>
      </c>
      <c r="W811" s="113">
        <f>ROUND($B811*W$796,2)</f>
        <v>0</v>
      </c>
      <c r="X811" s="113">
        <f>ROUND($B811*X$796,2)</f>
        <v>0</v>
      </c>
      <c r="Y811" s="113">
        <f>ROUND($B811*Y$796,2)</f>
        <v>0</v>
      </c>
      <c r="Z811" s="113">
        <f>ROUND($B811*Z$796,2)</f>
        <v>0</v>
      </c>
      <c r="AA811" s="113">
        <f>ROUND($B811*AA$796,2)</f>
        <v>0</v>
      </c>
      <c r="AB811" s="19">
        <f>SUM(U$796:AA$796)+(-V$796+V797)</f>
        <v>2.3760000000000005E-3</v>
      </c>
      <c r="AC811" s="130" t="str">
        <f t="shared" si="60"/>
        <v>HL27</v>
      </c>
    </row>
    <row r="812" spans="1:29" ht="13" x14ac:dyDescent="0.3">
      <c r="A812" s="9"/>
      <c r="B812" s="111">
        <v>-1</v>
      </c>
      <c r="D812" s="33"/>
      <c r="E812" s="127"/>
      <c r="F812" s="37"/>
      <c r="G812" s="113"/>
      <c r="H812" s="19" t="e">
        <f>IF(ISBLANK(B812),0,+#REF!/B812)</f>
        <v>#REF!</v>
      </c>
      <c r="J812" s="134">
        <f t="shared" si="57"/>
        <v>211.78</v>
      </c>
      <c r="K812" s="113">
        <f t="shared" si="58"/>
        <v>-0.04</v>
      </c>
      <c r="L812" s="113">
        <f>IF(ISBLANK($E812),0,IF($E812&lt;$C$797,ROUND($C$797*$L$796,2),IF($E812&gt;L$797,ROUND(L$797*L$796,2),ROUND($E812*L$796,2))))</f>
        <v>0</v>
      </c>
      <c r="M812" s="113">
        <f>IF($E812&gt;L$797,ROUND(($E812-L$797)*M$796,2),0)</f>
        <v>0</v>
      </c>
      <c r="N812" s="113"/>
      <c r="O812" s="113"/>
      <c r="P812" s="113"/>
      <c r="Q812" s="113"/>
      <c r="R812" s="16" t="e">
        <f>VLOOKUP((D813),'Pwr Factor'!$A$1:$B$52,2)</f>
        <v>#N/A</v>
      </c>
      <c r="S812" s="51">
        <v>0.5</v>
      </c>
      <c r="T812" s="113"/>
      <c r="U812" s="113"/>
      <c r="V812" s="33"/>
      <c r="W812" s="113"/>
      <c r="X812" s="113"/>
      <c r="Y812" s="113"/>
      <c r="Z812" s="113"/>
      <c r="AA812" s="113"/>
      <c r="AB812" s="19"/>
      <c r="AC812" s="130">
        <f t="shared" si="60"/>
        <v>0</v>
      </c>
    </row>
    <row r="813" spans="1:29" ht="13" x14ac:dyDescent="0.3">
      <c r="A813" s="57" t="s">
        <v>171</v>
      </c>
      <c r="B813" s="111">
        <f>IF(AND('AES Indiana Sep 23 Bill Calc.'!$D$17="HL2",'AES Indiana Sep 23 Bill Calc.'!$D$18="Yes 50%",'AES Indiana Sep 23 Bill Calc.'!$D$20="Yes Before 2018"),'AES Indiana Sep 23 Bill Calc.'!$D$19,-1)</f>
        <v>-1</v>
      </c>
      <c r="C813" s="111">
        <f>MAX(E813,$C$701)</f>
        <v>2000</v>
      </c>
      <c r="D813" s="111" t="b">
        <f>IF(AND('AES Indiana Sep 23 Bill Calc.'!$D$17="HL2",'AES Indiana Sep 23 Bill Calc.'!$D$18="Yes 50%",'AES Indiana Sep 23 Bill Calc.'!$D$20="Yes Before 2018"),'AES Indiana Sep 23 Bill Calc.'!$D$22)</f>
        <v>0</v>
      </c>
      <c r="E813" s="111" t="b">
        <f>IF(AND('AES Indiana Sep 23 Bill Calc.'!$D$17="HL2",'AES Indiana Sep 23 Bill Calc.'!$D$18="Yes 50%",'AES Indiana Sep 23 Bill Calc.'!$D$20="Yes Before 2018"),'AES Indiana Sep 23 Bill Calc.'!$D$21)</f>
        <v>0</v>
      </c>
      <c r="F813" s="37" t="s">
        <v>117</v>
      </c>
      <c r="G813" s="113" t="e">
        <f>SUM(J813:M813,R813:AA813)</f>
        <v>#N/A</v>
      </c>
      <c r="H813" s="19" t="e">
        <f>IF(ISBLANK(B813),0,+#REF!/B813)</f>
        <v>#REF!</v>
      </c>
      <c r="J813" s="134">
        <f t="shared" si="57"/>
        <v>211.78</v>
      </c>
      <c r="K813" s="113">
        <f t="shared" si="58"/>
        <v>-0.04</v>
      </c>
      <c r="L813" s="17">
        <f>IF(ISBLANK($C813),0,IF($C813&lt;$C$797,ROUND($C$797*$L$796,2),IF($C813&gt;L$797,ROUND(L$797*L$796,2),ROUND($C813*L$796,2))))</f>
        <v>44300</v>
      </c>
      <c r="M813" s="17">
        <f>IF($C813&gt;L$797,ROUND(($C813-L$797)*M$796,2),0)</f>
        <v>0</v>
      </c>
      <c r="N813" s="17">
        <f>K813</f>
        <v>-0.04</v>
      </c>
      <c r="O813" s="113"/>
      <c r="P813" s="113"/>
      <c r="Q813" s="17">
        <f>SUM(L813:M813)</f>
        <v>44300</v>
      </c>
      <c r="R813" s="135" t="e">
        <f>ROUND(SUM(K813:M813)*(R812-1),2)</f>
        <v>#N/A</v>
      </c>
      <c r="S813" s="113">
        <f>ROUND($B813*S$796*S812,2)</f>
        <v>0</v>
      </c>
      <c r="T813" s="113">
        <f>ROUND($B813*T$796,2)</f>
        <v>0</v>
      </c>
      <c r="U813" s="113">
        <f>ROUND($B813*U$796,2)</f>
        <v>0</v>
      </c>
      <c r="V813" s="33">
        <f>ROUND($B813*$V$789,2)</f>
        <v>0</v>
      </c>
      <c r="W813" s="113">
        <f>ROUND($B813*W$796,2)</f>
        <v>0</v>
      </c>
      <c r="X813" s="113">
        <f>ROUND($B813*X$796,2)</f>
        <v>0</v>
      </c>
      <c r="Y813" s="113">
        <f>ROUND($B813*Y$796,2)</f>
        <v>0</v>
      </c>
      <c r="Z813" s="113">
        <f>ROUND($B813*Z$796,2)</f>
        <v>0</v>
      </c>
      <c r="AA813" s="113">
        <f>ROUND($B813*AA$796,2)</f>
        <v>0</v>
      </c>
      <c r="AB813" s="19" t="e">
        <f>SUM(U$796:AA$796)+(-V$796+V799)</f>
        <v>#VALUE!</v>
      </c>
      <c r="AC813" s="130" t="str">
        <f t="shared" si="60"/>
        <v>HL27</v>
      </c>
    </row>
    <row r="814" spans="1:29" ht="13" x14ac:dyDescent="0.3">
      <c r="A814" s="9"/>
      <c r="B814" s="111">
        <v>-1</v>
      </c>
      <c r="D814" s="33"/>
      <c r="E814" s="127"/>
      <c r="F814" s="37"/>
      <c r="G814" s="113"/>
      <c r="H814" s="19" t="e">
        <f>IF(ISBLANK(B814),0,+#REF!/B814)</f>
        <v>#REF!</v>
      </c>
      <c r="J814" s="134">
        <f t="shared" si="57"/>
        <v>211.78</v>
      </c>
      <c r="K814" s="113">
        <f t="shared" si="58"/>
        <v>-0.04</v>
      </c>
      <c r="L814" s="113">
        <f>IF(ISBLANK($E814),0,IF($E814&lt;$C$797,ROUND($C$797*$L$796,2),IF($E814&gt;L$797,ROUND(L$797*L$796,2),ROUND($E814*L$796,2))))</f>
        <v>0</v>
      </c>
      <c r="M814" s="113">
        <f>IF($E814&gt;L$797,ROUND(($E814-L$797)*M$796,2),0)</f>
        <v>0</v>
      </c>
      <c r="N814" s="113"/>
      <c r="O814" s="113"/>
      <c r="P814" s="113"/>
      <c r="Q814" s="113"/>
      <c r="R814" s="16" t="e">
        <f>VLOOKUP((D815),'Pwr Factor'!$A$1:$B$52,2)</f>
        <v>#N/A</v>
      </c>
      <c r="S814" s="51">
        <v>0.25</v>
      </c>
      <c r="T814" s="113"/>
      <c r="U814" s="113"/>
      <c r="V814" s="33"/>
      <c r="W814" s="113"/>
      <c r="X814" s="113"/>
      <c r="Y814" s="113"/>
      <c r="Z814" s="113"/>
      <c r="AA814" s="113"/>
      <c r="AB814" s="19"/>
      <c r="AC814" s="130">
        <f t="shared" si="60"/>
        <v>0</v>
      </c>
    </row>
    <row r="815" spans="1:29" ht="13" x14ac:dyDescent="0.3">
      <c r="A815" s="57" t="s">
        <v>158</v>
      </c>
      <c r="B815" s="111">
        <f>IF(AND('AES Indiana Sep 23 Bill Calc.'!$D$17="HL2",'AES Indiana Sep 23 Bill Calc.'!$D$18="Yes 25%",'AES Indiana Sep 23 Bill Calc.'!$D$20="Yes Before 2018"),'AES Indiana Sep 23 Bill Calc.'!$D$19,-1)</f>
        <v>-1</v>
      </c>
      <c r="C815" s="111">
        <f>MAX(E815,$C$701)</f>
        <v>2000</v>
      </c>
      <c r="D815" s="111" t="b">
        <f>IF(AND('AES Indiana Sep 23 Bill Calc.'!$D$17="HL2",'AES Indiana Sep 23 Bill Calc.'!$D$18="Yes 25%",'AES Indiana Sep 23 Bill Calc.'!$D$20="Yes Before 2018"),'AES Indiana Sep 23 Bill Calc.'!$D$22)</f>
        <v>0</v>
      </c>
      <c r="E815" s="111" t="b">
        <f>IF(AND('AES Indiana Sep 23 Bill Calc.'!$D$17="HL2",'AES Indiana Sep 23 Bill Calc.'!$D$18="Yes 25%",'AES Indiana Sep 23 Bill Calc.'!$D$20="Yes Before 2018"),'AES Indiana Sep 23 Bill Calc.'!$D$21)</f>
        <v>0</v>
      </c>
      <c r="F815" s="37" t="s">
        <v>117</v>
      </c>
      <c r="G815" s="113" t="e">
        <f>SUM(J815:M815,R815:AA815)</f>
        <v>#N/A</v>
      </c>
      <c r="H815" s="19" t="e">
        <f>IF(ISBLANK(B815),0,+#REF!/B815)</f>
        <v>#REF!</v>
      </c>
      <c r="J815" s="134">
        <f t="shared" si="57"/>
        <v>211.78</v>
      </c>
      <c r="K815" s="113">
        <f t="shared" si="58"/>
        <v>-0.04</v>
      </c>
      <c r="L815" s="17">
        <f>IF(ISBLANK($C815),0,IF($C815&lt;$C$797,ROUND($C$797*$L$796,2),IF($C815&gt;L$797,ROUND(L$797*L$796,2),ROUND($C815*L$796,2))))</f>
        <v>44300</v>
      </c>
      <c r="M815" s="17">
        <f>IF($C815&gt;L$797,ROUND(($C815-L$797)*M$796,2),0)</f>
        <v>0</v>
      </c>
      <c r="N815" s="17">
        <f>K815</f>
        <v>-0.04</v>
      </c>
      <c r="O815" s="113"/>
      <c r="P815" s="113"/>
      <c r="Q815" s="17">
        <f>SUM(L815:M815)</f>
        <v>44300</v>
      </c>
      <c r="R815" s="135" t="e">
        <f>ROUND(SUM(K815:M815)*(R814-1),2)</f>
        <v>#N/A</v>
      </c>
      <c r="S815" s="113">
        <f>ROUND($B815*S$796*S814,2)</f>
        <v>0</v>
      </c>
      <c r="T815" s="113">
        <f>ROUND($B815*T$796,2)</f>
        <v>0</v>
      </c>
      <c r="U815" s="113">
        <f>ROUND($B815*U$796,2)</f>
        <v>0</v>
      </c>
      <c r="V815" s="33">
        <f>ROUND($B815*$V$789,2)</f>
        <v>0</v>
      </c>
      <c r="W815" s="113">
        <f>ROUND($B815*W$796,2)</f>
        <v>0</v>
      </c>
      <c r="X815" s="113">
        <f>ROUND($B815*X$796,2)</f>
        <v>0</v>
      </c>
      <c r="Y815" s="113">
        <f>ROUND($B815*Y$796,2)</f>
        <v>0</v>
      </c>
      <c r="Z815" s="113">
        <f>ROUND($B815*Z$796,2)</f>
        <v>0</v>
      </c>
      <c r="AA815" s="113">
        <f>ROUND($B815*AA$796,2)</f>
        <v>0</v>
      </c>
      <c r="AB815" s="19">
        <f>SUM(U$796:AA$796)+(-V$796+V801)</f>
        <v>-7.6239999999999988E-3</v>
      </c>
      <c r="AC815" s="130" t="str">
        <f t="shared" si="60"/>
        <v>HL27</v>
      </c>
    </row>
    <row r="816" spans="1:29" ht="13" x14ac:dyDescent="0.3">
      <c r="A816" s="9"/>
      <c r="B816" s="111">
        <v>-1</v>
      </c>
      <c r="D816" s="33"/>
      <c r="E816" s="127"/>
      <c r="F816" s="37"/>
      <c r="G816" s="113"/>
      <c r="H816" s="19" t="e">
        <f>IF(ISBLANK(B816),0,+#REF!/B816)</f>
        <v>#REF!</v>
      </c>
      <c r="J816" s="134">
        <f t="shared" si="57"/>
        <v>211.78</v>
      </c>
      <c r="K816" s="113">
        <f t="shared" si="58"/>
        <v>-0.04</v>
      </c>
      <c r="L816" s="113">
        <f>IF(ISBLANK($E816),0,IF($E816&lt;$C$797,ROUND($C$797*$L$796,2),IF($E816&gt;L$797,ROUND(L$797*L$796,2),ROUND($E816*L$796,2))))</f>
        <v>0</v>
      </c>
      <c r="M816" s="113">
        <f>IF($E816&gt;L$797,ROUND(($E816-L$797)*M$796,2),0)</f>
        <v>0</v>
      </c>
      <c r="N816" s="113"/>
      <c r="O816" s="113"/>
      <c r="P816" s="113"/>
      <c r="Q816" s="113"/>
      <c r="R816" s="16" t="e">
        <f>VLOOKUP((D817),'Pwr Factor'!$A$1:$B$52,2)</f>
        <v>#N/A</v>
      </c>
      <c r="S816" s="51">
        <v>0.1</v>
      </c>
      <c r="T816" s="113"/>
      <c r="U816" s="113"/>
      <c r="V816" s="33"/>
      <c r="W816" s="113"/>
      <c r="X816" s="113"/>
      <c r="Y816" s="113"/>
      <c r="Z816" s="113"/>
      <c r="AA816" s="113"/>
      <c r="AB816" s="19"/>
      <c r="AC816" s="130">
        <f t="shared" si="60"/>
        <v>0</v>
      </c>
    </row>
    <row r="817" spans="1:252" ht="13" x14ac:dyDescent="0.3">
      <c r="A817" s="57" t="s">
        <v>173</v>
      </c>
      <c r="B817" s="111">
        <f>IF(AND('AES Indiana Sep 23 Bill Calc.'!$D$17="HL2",'AES Indiana Sep 23 Bill Calc.'!$D$18="Yes 10%",'AES Indiana Sep 23 Bill Calc.'!$D$20="Yes Before 2018"),'AES Indiana Sep 23 Bill Calc.'!$D$19,-1)</f>
        <v>-1</v>
      </c>
      <c r="C817" s="111">
        <f>MAX(E817,$C$701)</f>
        <v>2000</v>
      </c>
      <c r="D817" s="111" t="b">
        <f>IF(AND('AES Indiana Sep 23 Bill Calc.'!$D$17="HL2",'AES Indiana Sep 23 Bill Calc.'!$D$18="Yes 10%",'AES Indiana Sep 23 Bill Calc.'!$D$20="Yes Before 2018"),'AES Indiana Sep 23 Bill Calc.'!$D$22)</f>
        <v>0</v>
      </c>
      <c r="E817" s="111" t="b">
        <f>IF(AND('AES Indiana Sep 23 Bill Calc.'!$D$17="HL2",'AES Indiana Sep 23 Bill Calc.'!$D$18="Yes 10%",'AES Indiana Sep 23 Bill Calc.'!$D$20="Yes Before 2018"),'AES Indiana Sep 23 Bill Calc.'!$D$21)</f>
        <v>0</v>
      </c>
      <c r="F817" s="37" t="s">
        <v>117</v>
      </c>
      <c r="G817" s="113" t="e">
        <f>SUM(J817:M817,R817:AA817)</f>
        <v>#N/A</v>
      </c>
      <c r="H817" s="19" t="e">
        <f>IF(ISBLANK(B817),0,+#REF!/B817)</f>
        <v>#REF!</v>
      </c>
      <c r="J817" s="134">
        <f t="shared" si="57"/>
        <v>211.78</v>
      </c>
      <c r="K817" s="113">
        <f t="shared" si="58"/>
        <v>-0.04</v>
      </c>
      <c r="L817" s="17">
        <f>IF(ISBLANK($C817),0,IF($C817&lt;$C$797,ROUND($C$797*$L$796,2),IF($C817&gt;L$797,ROUND(L$797*L$796,2),ROUND($C817*L$796,2))))</f>
        <v>44300</v>
      </c>
      <c r="M817" s="17">
        <f>IF($C817&gt;L$797,ROUND(($C817-L$797)*M$796,2),0)</f>
        <v>0</v>
      </c>
      <c r="N817" s="17">
        <f>K817</f>
        <v>-0.04</v>
      </c>
      <c r="O817" s="113"/>
      <c r="P817" s="113"/>
      <c r="Q817" s="17">
        <f>SUM(L817:M817)</f>
        <v>44300</v>
      </c>
      <c r="R817" s="135" t="e">
        <f>ROUND(SUM(K817:M817)*(R816-1),2)</f>
        <v>#N/A</v>
      </c>
      <c r="S817" s="113">
        <f>ROUND($B817*S$796*S816,2)</f>
        <v>0</v>
      </c>
      <c r="T817" s="113">
        <f>ROUND($B817*T$796,2)</f>
        <v>0</v>
      </c>
      <c r="U817" s="113">
        <f>ROUND($B817*U$796,2)</f>
        <v>0</v>
      </c>
      <c r="V817" s="33">
        <f>ROUND($B817*$V$789,2)</f>
        <v>0</v>
      </c>
      <c r="W817" s="113">
        <f>ROUND($B817*W$796,2)</f>
        <v>0</v>
      </c>
      <c r="X817" s="113">
        <f>ROUND($B817*X$796,2)</f>
        <v>0</v>
      </c>
      <c r="Y817" s="113">
        <f>ROUND($B817*Y$796,2)</f>
        <v>0</v>
      </c>
      <c r="Z817" s="113">
        <f>ROUND($B817*Z$796,2)</f>
        <v>0</v>
      </c>
      <c r="AA817" s="113">
        <f>ROUND($B817*AA$796,2)</f>
        <v>0</v>
      </c>
      <c r="AB817" s="19">
        <f>SUM(U$796:AA$796)+(-V$796+V803)</f>
        <v>-7.6239999999999988E-3</v>
      </c>
      <c r="AC817" s="130" t="str">
        <f t="shared" si="60"/>
        <v>HL27</v>
      </c>
    </row>
    <row r="818" spans="1:252" ht="13" x14ac:dyDescent="0.3">
      <c r="A818" s="9"/>
      <c r="B818" s="111">
        <v>-1</v>
      </c>
      <c r="D818" s="33"/>
      <c r="E818" s="127"/>
      <c r="F818" s="37"/>
      <c r="G818" s="113"/>
      <c r="H818" s="19" t="e">
        <f>IF(ISBLANK(B818),0,+#REF!/B818)</f>
        <v>#REF!</v>
      </c>
      <c r="J818" s="134">
        <f t="shared" si="57"/>
        <v>211.78</v>
      </c>
      <c r="K818" s="113">
        <f t="shared" si="58"/>
        <v>-0.04</v>
      </c>
      <c r="L818" s="113">
        <f>IF(ISBLANK($E818),0,IF($E818&lt;$C$797,ROUND($C$797*$L$796,2),IF($E818&gt;L$797,ROUND(L$797*L$796,2),ROUND($E818*L$796,2))))</f>
        <v>0</v>
      </c>
      <c r="M818" s="113">
        <f>IF($E818&gt;L$797,ROUND(($E818-L$797)*M$796,2),0)</f>
        <v>0</v>
      </c>
      <c r="N818" s="113"/>
      <c r="O818" s="113"/>
      <c r="P818" s="113"/>
      <c r="Q818" s="113"/>
      <c r="R818" s="16" t="e">
        <f>VLOOKUP((D819),'Pwr Factor'!$A$1:$B$52,2)</f>
        <v>#N/A</v>
      </c>
      <c r="S818" s="51">
        <v>0</v>
      </c>
      <c r="T818" s="113"/>
      <c r="U818" s="113"/>
      <c r="V818" s="33"/>
      <c r="W818" s="113"/>
      <c r="X818" s="113"/>
      <c r="Y818" s="113"/>
      <c r="Z818" s="113"/>
      <c r="AA818" s="113"/>
      <c r="AB818" s="19"/>
      <c r="AC818" s="130">
        <f t="shared" si="60"/>
        <v>0</v>
      </c>
    </row>
    <row r="819" spans="1:252" ht="13" x14ac:dyDescent="0.3">
      <c r="A819" s="57" t="s">
        <v>172</v>
      </c>
      <c r="B819" s="111">
        <f>IF(AND('AES Indiana Sep 23 Bill Calc.'!$D$17="HL2",'AES Indiana Sep 23 Bill Calc.'!$D$18="No",'AES Indiana Sep 23 Bill Calc.'!$D$20="Yes Before 2018"),'AES Indiana Sep 23 Bill Calc.'!$D$19,-1)</f>
        <v>-1</v>
      </c>
      <c r="C819" s="111">
        <f>MAX(E819,$C$701)</f>
        <v>2000</v>
      </c>
      <c r="D819" s="111" t="b">
        <f>IF(AND('AES Indiana Sep 23 Bill Calc.'!$D$17="HL2",'AES Indiana Sep 23 Bill Calc.'!$D$18="No",'AES Indiana Sep 23 Bill Calc.'!$D$20="Yes Before 2018"),'AES Indiana Sep 23 Bill Calc.'!$D$22)</f>
        <v>0</v>
      </c>
      <c r="E819" s="111" t="b">
        <f>IF(AND('AES Indiana Sep 23 Bill Calc.'!$D$17="HL2",'AES Indiana Sep 23 Bill Calc.'!$D$18="No",'AES Indiana Sep 23 Bill Calc.'!$D$20="Yes Before 2018"),'AES Indiana Sep 23 Bill Calc.'!$D$21)</f>
        <v>0</v>
      </c>
      <c r="F819" s="37" t="s">
        <v>117</v>
      </c>
      <c r="G819" s="113" t="e">
        <f>SUM(J819:M819,R819:AA819)</f>
        <v>#N/A</v>
      </c>
      <c r="H819" s="19" t="e">
        <f>IF(ISBLANK(B819),0,+#REF!/B819)</f>
        <v>#REF!</v>
      </c>
      <c r="J819" s="134">
        <f t="shared" si="57"/>
        <v>211.78</v>
      </c>
      <c r="K819" s="113">
        <f t="shared" si="58"/>
        <v>-0.04</v>
      </c>
      <c r="L819" s="17">
        <f>IF(ISBLANK($C819),0,IF($C819&lt;$C$797,ROUND($C$797*$L$796,2),IF($C819&gt;L$797,ROUND(L$797*L$796,2),ROUND($C819*L$796,2))))</f>
        <v>44300</v>
      </c>
      <c r="M819" s="17">
        <f>IF($C819&gt;L$797,ROUND(($C819-L$797)*M$796,2),0)</f>
        <v>0</v>
      </c>
      <c r="N819" s="17">
        <f>K819</f>
        <v>-0.04</v>
      </c>
      <c r="O819" s="113"/>
      <c r="P819" s="113"/>
      <c r="Q819" s="17">
        <f>SUM(L819:M819)</f>
        <v>44300</v>
      </c>
      <c r="R819" s="135" t="e">
        <f>ROUND(SUM(K819:M819)*(R818-1),2)</f>
        <v>#N/A</v>
      </c>
      <c r="S819" s="113">
        <f>ROUND($B819*S$796*S818,2)</f>
        <v>0</v>
      </c>
      <c r="T819" s="113">
        <f>ROUND($B819*T$796,2)</f>
        <v>0</v>
      </c>
      <c r="U819" s="113">
        <f>ROUND($B819*U$796,2)</f>
        <v>0</v>
      </c>
      <c r="V819" s="33">
        <f>ROUND($B819*$V$789,2)</f>
        <v>0</v>
      </c>
      <c r="W819" s="113">
        <f>ROUND($B819*W$796,2)</f>
        <v>0</v>
      </c>
      <c r="X819" s="113">
        <f>ROUND($B819*X$796,2)</f>
        <v>0</v>
      </c>
      <c r="Y819" s="113">
        <f>ROUND($B819*Y$796,2)</f>
        <v>0</v>
      </c>
      <c r="Z819" s="113">
        <f>ROUND($B819*Z$796,2)</f>
        <v>0</v>
      </c>
      <c r="AA819" s="113">
        <f>ROUND($B819*AA$796,2)</f>
        <v>0</v>
      </c>
      <c r="AB819" s="19">
        <f>SUM(U$796:AA$796)+(-V$796+V805)</f>
        <v>-7.6239999999999988E-3</v>
      </c>
      <c r="AC819" s="130" t="str">
        <f t="shared" si="60"/>
        <v>HL27</v>
      </c>
    </row>
    <row r="820" spans="1:252" ht="13" x14ac:dyDescent="0.3">
      <c r="B820" s="111">
        <v>-1</v>
      </c>
      <c r="D820" s="33"/>
      <c r="E820" s="127"/>
      <c r="F820" s="37"/>
      <c r="G820" s="113"/>
      <c r="H820" s="19" t="e">
        <f>IF(ISBLANK(B820),0,+#REF!/B820)</f>
        <v>#REF!</v>
      </c>
      <c r="J820" s="134">
        <f t="shared" si="57"/>
        <v>211.78</v>
      </c>
      <c r="K820" s="113">
        <f t="shared" si="58"/>
        <v>-0.04</v>
      </c>
      <c r="L820" s="113">
        <f>IF(ISBLANK($E820),0,IF($E820&lt;$C$797,ROUND($C$797*$L$796,2),IF($E820&gt;L$797,ROUND(L$797*L$796,2),ROUND($E820*L$796,2))))</f>
        <v>0</v>
      </c>
      <c r="M820" s="113">
        <f>IF($E820&gt;L$797,ROUND(($E820-L$797)*M$796,2),0)</f>
        <v>0</v>
      </c>
      <c r="N820" s="113"/>
      <c r="O820" s="113"/>
      <c r="P820" s="113"/>
      <c r="Q820" s="113"/>
      <c r="R820" s="16" t="e">
        <f>VLOOKUP((D821),'Pwr Factor'!$A$1:$B$52,2)</f>
        <v>#N/A</v>
      </c>
      <c r="S820" s="51">
        <v>1</v>
      </c>
      <c r="T820" s="113"/>
      <c r="U820" s="113"/>
      <c r="V820" s="33"/>
      <c r="W820" s="113"/>
      <c r="X820" s="113"/>
      <c r="Y820" s="113"/>
      <c r="Z820" s="113"/>
      <c r="AA820" s="113"/>
      <c r="AB820" s="19"/>
      <c r="AC820" s="130">
        <f t="shared" si="60"/>
        <v>0</v>
      </c>
    </row>
    <row r="821" spans="1:252" ht="13" x14ac:dyDescent="0.3">
      <c r="A821" s="1" t="s">
        <v>73</v>
      </c>
      <c r="B821" s="111">
        <f>IF(AND('AES Indiana Sep 23 Bill Calc.'!$D$17="HL2",'AES Indiana Sep 23 Bill Calc.'!$D$18="Yes 100%",'AES Indiana Sep 23 Bill Calc.'!$D$20="Yes 2018"),'AES Indiana Sep 23 Bill Calc.'!$D$19,-1)</f>
        <v>-1</v>
      </c>
      <c r="C821" s="111">
        <f>MAX(E821,$C$701)</f>
        <v>2000</v>
      </c>
      <c r="D821" s="111" t="b">
        <f>IF(AND('AES Indiana Sep 23 Bill Calc.'!$D$17="HL2",'AES Indiana Sep 23 Bill Calc.'!$D$18="Yes 100%",'AES Indiana Sep 23 Bill Calc.'!$D$20="Yes 2018"),'AES Indiana Sep 23 Bill Calc.'!$D$22)</f>
        <v>0</v>
      </c>
      <c r="E821" s="111" t="b">
        <f>IF(AND('AES Indiana Sep 23 Bill Calc.'!$D$17="HL2",'AES Indiana Sep 23 Bill Calc.'!$D$18="Yes 100%",'AES Indiana Sep 23 Bill Calc.'!$D$20="Yes 2018"),'AES Indiana Sep 23 Bill Calc.'!$D$21)</f>
        <v>0</v>
      </c>
      <c r="F821" s="37" t="s">
        <v>128</v>
      </c>
      <c r="G821" s="113" t="e">
        <f>SUM(J821:M821,R821:AA821)</f>
        <v>#N/A</v>
      </c>
      <c r="H821" s="19" t="e">
        <f>IF(ISBLANK(B821),0,+#REF!/B821)</f>
        <v>#REF!</v>
      </c>
      <c r="J821" s="134">
        <f t="shared" si="57"/>
        <v>211.78</v>
      </c>
      <c r="K821" s="113">
        <f t="shared" si="58"/>
        <v>-0.04</v>
      </c>
      <c r="L821" s="17">
        <f>IF(ISBLANK($C821),0,IF($C821&lt;$C$797,ROUND($C$797*$L$796,2),IF($C821&gt;L$797,ROUND(L$797*L$796,2),ROUND($C821*L$796,2))))</f>
        <v>44300</v>
      </c>
      <c r="M821" s="17">
        <f>IF($C821&gt;L$797,ROUND(($C821-L$797)*M$796,2),0)</f>
        <v>0</v>
      </c>
      <c r="N821" s="17">
        <f>K821</f>
        <v>-0.04</v>
      </c>
      <c r="O821" s="113"/>
      <c r="P821" s="113"/>
      <c r="Q821" s="17">
        <f>SUM(L821:M821)</f>
        <v>44300</v>
      </c>
      <c r="R821" s="135" t="e">
        <f>ROUND(SUM(K821:M821)*(R820-1),2)</f>
        <v>#N/A</v>
      </c>
      <c r="S821" s="113">
        <f>ROUND($B821*S$796*S820,2)</f>
        <v>0</v>
      </c>
      <c r="T821" s="113">
        <f>ROUND($B821*T$796,2)</f>
        <v>0</v>
      </c>
      <c r="U821" s="113">
        <f>ROUND($B821*U$796,2)</f>
        <v>0</v>
      </c>
      <c r="V821" s="33">
        <f>ROUND($B821*$V$790,2)</f>
        <v>0</v>
      </c>
      <c r="W821" s="113">
        <f>ROUND($B821*W$796,2)</f>
        <v>0</v>
      </c>
      <c r="X821" s="113">
        <f>ROUND($B821*X$796,2)</f>
        <v>0</v>
      </c>
      <c r="Y821" s="113">
        <f>ROUND($B821*Y$796,2)</f>
        <v>0</v>
      </c>
      <c r="Z821" s="113">
        <f>ROUND($B821*Z$796,2)</f>
        <v>0</v>
      </c>
      <c r="AA821" s="113">
        <f>ROUND($B821*AA$796,2)</f>
        <v>0</v>
      </c>
      <c r="AB821" s="19">
        <f>SUM(U$796:AA$796)+(-V$796+V807)</f>
        <v>-7.6239999999999988E-3</v>
      </c>
      <c r="AC821" s="130" t="str">
        <f t="shared" si="60"/>
        <v>HL28</v>
      </c>
    </row>
    <row r="822" spans="1:252" ht="13" x14ac:dyDescent="0.3">
      <c r="A822" s="9"/>
      <c r="B822" s="111">
        <v>-1</v>
      </c>
      <c r="D822" s="33"/>
      <c r="E822" s="127"/>
      <c r="F822" s="37"/>
      <c r="G822" s="113"/>
      <c r="H822" s="19" t="e">
        <f>IF(ISBLANK(B822),0,+#REF!/B822)</f>
        <v>#REF!</v>
      </c>
      <c r="J822" s="134">
        <f t="shared" si="57"/>
        <v>211.78</v>
      </c>
      <c r="K822" s="113">
        <f t="shared" si="58"/>
        <v>-0.04</v>
      </c>
      <c r="L822" s="113">
        <f>IF(ISBLANK($E822),0,IF($E822&lt;$C$797,ROUND($C$797*$L$796,2),IF($E822&gt;L$797,ROUND(L$797*L$796,2),ROUND($E822*L$796,2))))</f>
        <v>0</v>
      </c>
      <c r="M822" s="113">
        <f>IF($E822&gt;L$797,ROUND(($E822-L$797)*M$796,2),0)</f>
        <v>0</v>
      </c>
      <c r="N822" s="113"/>
      <c r="O822" s="113"/>
      <c r="P822" s="113"/>
      <c r="Q822" s="113"/>
      <c r="R822" s="16" t="e">
        <f>VLOOKUP((D823),'Pwr Factor'!$A$1:$B$52,2)</f>
        <v>#N/A</v>
      </c>
      <c r="S822" s="51">
        <v>0.5</v>
      </c>
      <c r="T822" s="113"/>
      <c r="U822" s="113"/>
      <c r="V822" s="33"/>
      <c r="W822" s="113"/>
      <c r="X822" s="113"/>
      <c r="Y822" s="113"/>
      <c r="Z822" s="113"/>
      <c r="AA822" s="113"/>
      <c r="AB822" s="19"/>
      <c r="AC822" s="130">
        <f t="shared" si="60"/>
        <v>0</v>
      </c>
    </row>
    <row r="823" spans="1:252" ht="13" x14ac:dyDescent="0.3">
      <c r="A823" s="57" t="s">
        <v>171</v>
      </c>
      <c r="B823" s="111">
        <f>IF(AND('AES Indiana Sep 23 Bill Calc.'!$D$17="HL2",'AES Indiana Sep 23 Bill Calc.'!$D$18="Yes 50%",'AES Indiana Sep 23 Bill Calc.'!$D$20="Yes 2018"),'AES Indiana Sep 23 Bill Calc.'!$D$19,-1)</f>
        <v>-1</v>
      </c>
      <c r="C823" s="111">
        <f>MAX(E823,$C$701)</f>
        <v>2000</v>
      </c>
      <c r="D823" s="111" t="b">
        <f>IF(AND('AES Indiana Sep 23 Bill Calc.'!$D$17="HL2",'AES Indiana Sep 23 Bill Calc.'!$D$18="Yes 50%",'AES Indiana Sep 23 Bill Calc.'!$D$20="Yes 2018"),'AES Indiana Sep 23 Bill Calc.'!$D$22)</f>
        <v>0</v>
      </c>
      <c r="E823" s="111" t="b">
        <f>IF(AND('AES Indiana Sep 23 Bill Calc.'!$D$17="HL2",'AES Indiana Sep 23 Bill Calc.'!$D$18="Yes 50%",'AES Indiana Sep 23 Bill Calc.'!$D$20="Yes 2018"),'AES Indiana Sep 23 Bill Calc.'!$D$21)</f>
        <v>0</v>
      </c>
      <c r="F823" s="37" t="s">
        <v>128</v>
      </c>
      <c r="G823" s="113" t="e">
        <f>SUM(J823:M823,R823:AA823)</f>
        <v>#N/A</v>
      </c>
      <c r="H823" s="19" t="e">
        <f>IF(ISBLANK(B823),0,+#REF!/B823)</f>
        <v>#REF!</v>
      </c>
      <c r="J823" s="134">
        <f t="shared" si="57"/>
        <v>211.78</v>
      </c>
      <c r="K823" s="113">
        <f t="shared" si="58"/>
        <v>-0.04</v>
      </c>
      <c r="L823" s="17">
        <f>IF(ISBLANK($C823),0,IF($C823&lt;$C$797,ROUND($C$797*$L$796,2),IF($C823&gt;L$797,ROUND(L$797*L$796,2),ROUND($C823*L$796,2))))</f>
        <v>44300</v>
      </c>
      <c r="M823" s="17">
        <f>IF($C823&gt;L$797,ROUND(($C823-L$797)*M$796,2),0)</f>
        <v>0</v>
      </c>
      <c r="N823" s="17">
        <f>K823</f>
        <v>-0.04</v>
      </c>
      <c r="O823" s="113"/>
      <c r="P823" s="113"/>
      <c r="Q823" s="17">
        <f>SUM(L823:M823)</f>
        <v>44300</v>
      </c>
      <c r="R823" s="135" t="e">
        <f>ROUND(SUM(K823:M823)*(R822-1),2)</f>
        <v>#N/A</v>
      </c>
      <c r="S823" s="113">
        <f>ROUND($B823*S$796*S822,2)</f>
        <v>0</v>
      </c>
      <c r="T823" s="113">
        <f>ROUND($B823*T$796,2)</f>
        <v>0</v>
      </c>
      <c r="U823" s="113">
        <f>ROUND($B823*U$796,2)</f>
        <v>0</v>
      </c>
      <c r="V823" s="33">
        <f>ROUND($B823*$V$790,2)</f>
        <v>0</v>
      </c>
      <c r="W823" s="113">
        <f>ROUND($B823*W$796,2)</f>
        <v>0</v>
      </c>
      <c r="X823" s="113">
        <f>ROUND($B823*X$796,2)</f>
        <v>0</v>
      </c>
      <c r="Y823" s="113">
        <f>ROUND($B823*Y$796,2)</f>
        <v>0</v>
      </c>
      <c r="Z823" s="113">
        <f>ROUND($B823*Z$796,2)</f>
        <v>0</v>
      </c>
      <c r="AA823" s="113">
        <f>ROUND($B823*AA$796,2)</f>
        <v>0</v>
      </c>
      <c r="AB823" s="19">
        <f>SUM(U$796:AA$796)+(-V$796+V809)</f>
        <v>-7.6239999999999988E-3</v>
      </c>
      <c r="AC823" s="130" t="str">
        <f t="shared" si="60"/>
        <v>HL28</v>
      </c>
    </row>
    <row r="824" spans="1:252" ht="13" x14ac:dyDescent="0.3">
      <c r="A824" s="9"/>
      <c r="B824" s="111">
        <v>-1</v>
      </c>
      <c r="D824" s="33"/>
      <c r="E824" s="127"/>
      <c r="F824" s="37"/>
      <c r="G824" s="113"/>
      <c r="H824" s="19" t="e">
        <f>IF(ISBLANK(B824),0,+#REF!/B824)</f>
        <v>#REF!</v>
      </c>
      <c r="J824" s="134">
        <f t="shared" si="57"/>
        <v>211.78</v>
      </c>
      <c r="K824" s="113">
        <f t="shared" si="58"/>
        <v>-0.04</v>
      </c>
      <c r="L824" s="113">
        <f>IF(ISBLANK($E824),0,IF($E824&lt;$C$797,ROUND($C$797*$L$796,2),IF($E824&gt;L$797,ROUND(L$797*L$796,2),ROUND($E824*L$796,2))))</f>
        <v>0</v>
      </c>
      <c r="M824" s="113">
        <f>IF($E824&gt;L$797,ROUND(($E824-L$797)*M$796,2),0)</f>
        <v>0</v>
      </c>
      <c r="N824" s="113"/>
      <c r="O824" s="113"/>
      <c r="P824" s="113"/>
      <c r="Q824" s="113"/>
      <c r="R824" s="16" t="e">
        <f>VLOOKUP((D825),'Pwr Factor'!$A$1:$B$52,2)</f>
        <v>#N/A</v>
      </c>
      <c r="S824" s="51">
        <v>0.25</v>
      </c>
      <c r="T824" s="113"/>
      <c r="U824" s="113"/>
      <c r="V824" s="33"/>
      <c r="W824" s="113"/>
      <c r="X824" s="113"/>
      <c r="Y824" s="113"/>
      <c r="Z824" s="113"/>
      <c r="AA824" s="113"/>
      <c r="AB824" s="19"/>
      <c r="AC824" s="130">
        <f t="shared" si="60"/>
        <v>0</v>
      </c>
    </row>
    <row r="825" spans="1:252" ht="13" x14ac:dyDescent="0.3">
      <c r="A825" s="57" t="s">
        <v>158</v>
      </c>
      <c r="B825" s="111">
        <f>IF(AND('AES Indiana Sep 23 Bill Calc.'!$D$17="HL2",'AES Indiana Sep 23 Bill Calc.'!$D$18="Yes 25%",'AES Indiana Sep 23 Bill Calc.'!$D$20="Yes 2018"),'AES Indiana Sep 23 Bill Calc.'!$D$19,-1)</f>
        <v>-1</v>
      </c>
      <c r="C825" s="111">
        <f>MAX(E825,$C$701)</f>
        <v>2000</v>
      </c>
      <c r="D825" s="111" t="b">
        <f>IF(AND('AES Indiana Sep 23 Bill Calc.'!$D$17="HL2",'AES Indiana Sep 23 Bill Calc.'!$D$18="Yes 25%",'AES Indiana Sep 23 Bill Calc.'!$D$20="Yes 2018"),'AES Indiana Sep 23 Bill Calc.'!$D$22)</f>
        <v>0</v>
      </c>
      <c r="E825" s="111" t="b">
        <f>IF(AND('AES Indiana Sep 23 Bill Calc.'!$D$17="HL2",'AES Indiana Sep 23 Bill Calc.'!$D$18="Yes 25%",'AES Indiana Sep 23 Bill Calc.'!$D$20="Yes 2018"),'AES Indiana Sep 23 Bill Calc.'!$D$21)</f>
        <v>0</v>
      </c>
      <c r="F825" s="37" t="s">
        <v>128</v>
      </c>
      <c r="G825" s="113" t="e">
        <f>SUM(J825:M825,R825:AA825)</f>
        <v>#N/A</v>
      </c>
      <c r="H825" s="19" t="e">
        <f>IF(ISBLANK(B825),0,+#REF!/B825)</f>
        <v>#REF!</v>
      </c>
      <c r="J825" s="134">
        <f t="shared" si="57"/>
        <v>211.78</v>
      </c>
      <c r="K825" s="113">
        <f t="shared" si="58"/>
        <v>-0.04</v>
      </c>
      <c r="L825" s="17">
        <f>IF(ISBLANK($C825),0,IF($C825&lt;$C$797,ROUND($C$797*$L$796,2),IF($C825&gt;L$797,ROUND(L$797*L$796,2),ROUND($C825*L$796,2))))</f>
        <v>44300</v>
      </c>
      <c r="M825" s="17">
        <f>IF($C825&gt;L$797,ROUND(($C825-L$797)*M$796,2),0)</f>
        <v>0</v>
      </c>
      <c r="N825" s="17">
        <f>K825</f>
        <v>-0.04</v>
      </c>
      <c r="O825" s="113"/>
      <c r="P825" s="113"/>
      <c r="Q825" s="17">
        <f>SUM(L825:M825)</f>
        <v>44300</v>
      </c>
      <c r="R825" s="135" t="e">
        <f>ROUND(SUM(K825:M825)*(R824-1),2)</f>
        <v>#N/A</v>
      </c>
      <c r="S825" s="113">
        <f>ROUND($B825*S$796*S824,2)</f>
        <v>0</v>
      </c>
      <c r="T825" s="113">
        <f>ROUND($B825*T$796,2)</f>
        <v>0</v>
      </c>
      <c r="U825" s="113">
        <f>ROUND($B825*U$796,2)</f>
        <v>0</v>
      </c>
      <c r="V825" s="33">
        <f>ROUND($B825*$V$790,2)</f>
        <v>0</v>
      </c>
      <c r="W825" s="113">
        <f>ROUND($B825*W$796,2)</f>
        <v>0</v>
      </c>
      <c r="X825" s="113">
        <f>ROUND($B825*X$796,2)</f>
        <v>0</v>
      </c>
      <c r="Y825" s="113">
        <f>ROUND($B825*Y$796,2)</f>
        <v>0</v>
      </c>
      <c r="Z825" s="113">
        <f>ROUND($B825*Z$796,2)</f>
        <v>0</v>
      </c>
      <c r="AA825" s="113">
        <f>ROUND($B825*AA$796,2)</f>
        <v>0</v>
      </c>
      <c r="AB825" s="19">
        <f>SUM(U$796:AA$796)+(-V$796+V811)</f>
        <v>2.3760000000000005E-3</v>
      </c>
      <c r="AC825" s="130" t="str">
        <f t="shared" si="60"/>
        <v>HL28</v>
      </c>
    </row>
    <row r="826" spans="1:252" ht="13" x14ac:dyDescent="0.3">
      <c r="A826" s="9"/>
      <c r="B826" s="111">
        <v>-1</v>
      </c>
      <c r="D826" s="33"/>
      <c r="E826" s="127"/>
      <c r="F826" s="37"/>
      <c r="G826" s="113"/>
      <c r="H826" s="19" t="e">
        <f>IF(ISBLANK(B826),0,+#REF!/B826)</f>
        <v>#REF!</v>
      </c>
      <c r="J826" s="134">
        <f t="shared" si="57"/>
        <v>211.78</v>
      </c>
      <c r="K826" s="113">
        <f t="shared" si="58"/>
        <v>-0.04</v>
      </c>
      <c r="L826" s="113">
        <f>IF(ISBLANK($E826),0,IF($E826&lt;$C$797,ROUND($C$797*$L$796,2),IF($E826&gt;L$797,ROUND(L$797*L$796,2),ROUND($E826*L$796,2))))</f>
        <v>0</v>
      </c>
      <c r="M826" s="113">
        <f>IF($E826&gt;L$797,ROUND(($E826-L$797)*M$796,2),0)</f>
        <v>0</v>
      </c>
      <c r="N826" s="113"/>
      <c r="O826" s="113"/>
      <c r="P826" s="113"/>
      <c r="Q826" s="113"/>
      <c r="R826" s="16" t="e">
        <f>VLOOKUP((D827),'Pwr Factor'!$A$1:$B$52,2)</f>
        <v>#N/A</v>
      </c>
      <c r="S826" s="51">
        <v>0.1</v>
      </c>
      <c r="T826" s="113"/>
      <c r="U826" s="113"/>
      <c r="V826" s="33"/>
      <c r="W826" s="113"/>
      <c r="X826" s="113"/>
      <c r="Y826" s="113"/>
      <c r="Z826" s="113"/>
      <c r="AA826" s="113"/>
      <c r="AB826" s="19"/>
      <c r="AC826" s="130">
        <f t="shared" si="60"/>
        <v>0</v>
      </c>
    </row>
    <row r="827" spans="1:252" ht="13" x14ac:dyDescent="0.3">
      <c r="A827" s="57" t="s">
        <v>173</v>
      </c>
      <c r="B827" s="111">
        <f>IF(AND('AES Indiana Sep 23 Bill Calc.'!$D$17="HL2",'AES Indiana Sep 23 Bill Calc.'!$D$18="Yes 10%",'AES Indiana Sep 23 Bill Calc.'!$D$20="Yes 2018"),'AES Indiana Sep 23 Bill Calc.'!$D$19,-1)</f>
        <v>-1</v>
      </c>
      <c r="C827" s="111">
        <f>MAX(E827,$C$701)</f>
        <v>2000</v>
      </c>
      <c r="D827" s="111" t="b">
        <f>IF(AND('AES Indiana Sep 23 Bill Calc.'!$D$17="HL2",'AES Indiana Sep 23 Bill Calc.'!$D$18="Yes 10%",'AES Indiana Sep 23 Bill Calc.'!$D$20="Yes 2018"),'AES Indiana Sep 23 Bill Calc.'!$D$22)</f>
        <v>0</v>
      </c>
      <c r="E827" s="111" t="b">
        <f>IF(AND('AES Indiana Sep 23 Bill Calc.'!$D$17="HL2",'AES Indiana Sep 23 Bill Calc.'!$D$18="Yes 10%",'AES Indiana Sep 23 Bill Calc.'!$D$20="Yes 2018"),'AES Indiana Sep 23 Bill Calc.'!$D$21)</f>
        <v>0</v>
      </c>
      <c r="F827" s="37" t="s">
        <v>128</v>
      </c>
      <c r="G827" s="113" t="e">
        <f>SUM(J827:M827,R827:AA827)</f>
        <v>#N/A</v>
      </c>
      <c r="H827" s="19" t="e">
        <f>IF(ISBLANK(B827),0,+#REF!/B827)</f>
        <v>#REF!</v>
      </c>
      <c r="J827" s="134">
        <f t="shared" si="57"/>
        <v>211.78</v>
      </c>
      <c r="K827" s="113">
        <f t="shared" si="58"/>
        <v>-0.04</v>
      </c>
      <c r="L827" s="17">
        <f>IF(ISBLANK($C827),0,IF($C827&lt;$C$797,ROUND($C$797*$L$796,2),IF($C827&gt;L$797,ROUND(L$797*L$796,2),ROUND($C827*L$796,2))))</f>
        <v>44300</v>
      </c>
      <c r="M827" s="17">
        <f>IF($C827&gt;L$797,ROUND(($C827-L$797)*M$796,2),0)</f>
        <v>0</v>
      </c>
      <c r="N827" s="17">
        <f>K827</f>
        <v>-0.04</v>
      </c>
      <c r="O827" s="113"/>
      <c r="P827" s="113"/>
      <c r="Q827" s="17">
        <f>SUM(L827:M827)</f>
        <v>44300</v>
      </c>
      <c r="R827" s="135" t="e">
        <f>ROUND(SUM(K827:M827)*(R826-1),2)</f>
        <v>#N/A</v>
      </c>
      <c r="S827" s="113">
        <f>ROUND($B827*S$796*S826,2)</f>
        <v>0</v>
      </c>
      <c r="T827" s="113">
        <f>ROUND($B827*T$796,2)</f>
        <v>0</v>
      </c>
      <c r="U827" s="113">
        <f>ROUND($B827*U$796,2)</f>
        <v>0</v>
      </c>
      <c r="V827" s="33">
        <f>ROUND($B827*$V$790,2)</f>
        <v>0</v>
      </c>
      <c r="W827" s="113">
        <f>ROUND($B827*W$796,2)</f>
        <v>0</v>
      </c>
      <c r="X827" s="113">
        <f>ROUND($B827*X$796,2)</f>
        <v>0</v>
      </c>
      <c r="Y827" s="113">
        <f>ROUND($B827*Y$796,2)</f>
        <v>0</v>
      </c>
      <c r="Z827" s="113">
        <f>ROUND($B827*Z$796,2)</f>
        <v>0</v>
      </c>
      <c r="AA827" s="113">
        <f>ROUND($B827*AA$796,2)</f>
        <v>0</v>
      </c>
      <c r="AB827" s="19">
        <f>SUM(U$796:AA$796)+(-V$796+V813)</f>
        <v>2.3760000000000005E-3</v>
      </c>
      <c r="AC827" s="130" t="str">
        <f t="shared" si="60"/>
        <v>HL28</v>
      </c>
    </row>
    <row r="828" spans="1:252" ht="13" x14ac:dyDescent="0.3">
      <c r="A828" s="9"/>
      <c r="B828" s="111">
        <v>-1</v>
      </c>
      <c r="D828" s="33"/>
      <c r="E828" s="127"/>
      <c r="F828" s="37"/>
      <c r="G828" s="113"/>
      <c r="H828" s="19" t="e">
        <f>IF(ISBLANK(B828),0,+#REF!/B828)</f>
        <v>#REF!</v>
      </c>
      <c r="J828" s="134">
        <f t="shared" si="57"/>
        <v>211.78</v>
      </c>
      <c r="K828" s="113">
        <f t="shared" si="58"/>
        <v>-0.04</v>
      </c>
      <c r="L828" s="113">
        <f>IF(ISBLANK($E828),0,IF($E828&lt;$C$797,ROUND($C$797*$L$796,2),IF($E828&gt;L$797,ROUND(L$797*L$796,2),ROUND($E828*L$796,2))))</f>
        <v>0</v>
      </c>
      <c r="M828" s="113">
        <f>IF($E828&gt;L$797,ROUND(($E828-L$797)*M$796,2),0)</f>
        <v>0</v>
      </c>
      <c r="N828" s="113"/>
      <c r="O828" s="113"/>
      <c r="P828" s="113"/>
      <c r="Q828" s="113"/>
      <c r="R828" s="16" t="e">
        <f>VLOOKUP((D829),'Pwr Factor'!$A$1:$B$52,2)</f>
        <v>#N/A</v>
      </c>
      <c r="S828" s="51">
        <v>0</v>
      </c>
      <c r="T828" s="113"/>
      <c r="U828" s="113"/>
      <c r="V828" s="33"/>
      <c r="W828" s="113"/>
      <c r="X828" s="113"/>
      <c r="Y828" s="113"/>
      <c r="Z828" s="113"/>
      <c r="AA828" s="113"/>
      <c r="AB828" s="19"/>
      <c r="AC828" s="130">
        <f t="shared" si="60"/>
        <v>0</v>
      </c>
    </row>
    <row r="829" spans="1:252" ht="13" x14ac:dyDescent="0.3">
      <c r="A829" s="57" t="s">
        <v>172</v>
      </c>
      <c r="B829" s="111">
        <f>IF(AND('AES Indiana Sep 23 Bill Calc.'!$D$17="HL2",'AES Indiana Sep 23 Bill Calc.'!$D$18="No",'AES Indiana Sep 23 Bill Calc.'!$D$20="Yes 2018"),'AES Indiana Sep 23 Bill Calc.'!$D$19,-1)</f>
        <v>-1</v>
      </c>
      <c r="C829" s="111">
        <f>MAX(E829,$C$701)</f>
        <v>2000</v>
      </c>
      <c r="D829" s="111" t="b">
        <f>IF(AND('AES Indiana Sep 23 Bill Calc.'!$D$17="HL2",'AES Indiana Sep 23 Bill Calc.'!$D$18="No",'AES Indiana Sep 23 Bill Calc.'!$D$20="Yes 2018"),'AES Indiana Sep 23 Bill Calc.'!$D$22)</f>
        <v>0</v>
      </c>
      <c r="E829" s="111" t="b">
        <f>IF(AND('AES Indiana Sep 23 Bill Calc.'!$D$17="HL2",'AES Indiana Sep 23 Bill Calc.'!$D$18="No",'AES Indiana Sep 23 Bill Calc.'!$D$20="Yes 2018"),'AES Indiana Sep 23 Bill Calc.'!$D$21)</f>
        <v>0</v>
      </c>
      <c r="F829" s="37" t="s">
        <v>128</v>
      </c>
      <c r="G829" s="113" t="e">
        <f>SUM(J829:M829,R829:AA829)</f>
        <v>#N/A</v>
      </c>
      <c r="H829" s="19" t="e">
        <f>IF(ISBLANK(B829),0,+#REF!/B829)</f>
        <v>#REF!</v>
      </c>
      <c r="J829" s="134">
        <f t="shared" si="57"/>
        <v>211.78</v>
      </c>
      <c r="K829" s="113">
        <f t="shared" si="58"/>
        <v>-0.04</v>
      </c>
      <c r="L829" s="17">
        <f>IF(ISBLANK($C829),0,IF($C829&lt;$C$797,ROUND($C$797*$L$796,2),IF($C829&gt;L$797,ROUND(L$797*L$796,2),ROUND($C829*L$796,2))))</f>
        <v>44300</v>
      </c>
      <c r="M829" s="17">
        <f>IF($C829&gt;L$797,ROUND(($C829-L$797)*M$796,2),0)</f>
        <v>0</v>
      </c>
      <c r="N829" s="17">
        <f>K829</f>
        <v>-0.04</v>
      </c>
      <c r="O829" s="113"/>
      <c r="P829" s="113"/>
      <c r="Q829" s="17">
        <f>SUM(L829:M829)</f>
        <v>44300</v>
      </c>
      <c r="R829" s="135" t="e">
        <f>ROUND(SUM(K829:M829)*(R828-1),2)</f>
        <v>#N/A</v>
      </c>
      <c r="S829" s="113">
        <f>ROUND($B829*S$796*S828,2)</f>
        <v>0</v>
      </c>
      <c r="T829" s="113">
        <f>ROUND($B829*T$796,2)</f>
        <v>0</v>
      </c>
      <c r="U829" s="113">
        <f>ROUND($B829*U$796,2)</f>
        <v>0</v>
      </c>
      <c r="V829" s="33">
        <f>ROUND($B829*$V$790,2)</f>
        <v>0</v>
      </c>
      <c r="W829" s="113">
        <f>ROUND($B829*W$796,2)</f>
        <v>0</v>
      </c>
      <c r="X829" s="113">
        <f>ROUND($B829*X$796,2)</f>
        <v>0</v>
      </c>
      <c r="Y829" s="113">
        <f>ROUND($B829*Y$796,2)</f>
        <v>0</v>
      </c>
      <c r="Z829" s="113">
        <f>ROUND($B829*Z$796,2)</f>
        <v>0</v>
      </c>
      <c r="AA829" s="113">
        <f>ROUND($B829*AA$796,2)</f>
        <v>0</v>
      </c>
      <c r="AB829" s="19">
        <f>SUM(U$796:AA$796)+(-V$796+V815)</f>
        <v>2.3760000000000005E-3</v>
      </c>
      <c r="AC829" s="130" t="str">
        <f t="shared" si="60"/>
        <v>HL28</v>
      </c>
    </row>
    <row r="830" spans="1:252" ht="13" x14ac:dyDescent="0.3">
      <c r="B830" s="111">
        <v>-1</v>
      </c>
      <c r="D830" s="33"/>
      <c r="E830" s="127"/>
      <c r="F830" s="37"/>
      <c r="G830" s="113"/>
      <c r="H830" s="19" t="e">
        <f>IF(ISBLANK(B830),0,+#REF!/B830)</f>
        <v>#REF!</v>
      </c>
      <c r="J830" s="134">
        <f t="shared" si="57"/>
        <v>211.78</v>
      </c>
      <c r="K830" s="113">
        <f t="shared" si="58"/>
        <v>-0.04</v>
      </c>
      <c r="L830" s="113">
        <f>IF(ISBLANK($E830),0,IF($E830&lt;$C$797,ROUND($C$797*$L$796,2),IF($E830&gt;L$797,ROUND(L$797*L$796,2),ROUND($E830*L$796,2))))</f>
        <v>0</v>
      </c>
      <c r="M830" s="113">
        <f>IF($E830&gt;L$797,ROUND(($E830-L$797)*M$796,2),0)</f>
        <v>0</v>
      </c>
      <c r="N830" s="113"/>
      <c r="O830" s="113"/>
      <c r="P830" s="113"/>
      <c r="Q830" s="113"/>
      <c r="R830" s="16" t="e">
        <f>VLOOKUP((D831),'Pwr Factor'!$A$1:$B$52,2)</f>
        <v>#N/A</v>
      </c>
      <c r="S830" s="51">
        <v>1</v>
      </c>
      <c r="T830" s="113"/>
      <c r="U830" s="113"/>
      <c r="V830" s="33"/>
      <c r="W830" s="113"/>
      <c r="X830" s="113"/>
      <c r="Y830" s="113"/>
      <c r="Z830" s="113"/>
      <c r="AA830" s="113"/>
      <c r="AB830" s="19"/>
      <c r="AC830" s="130">
        <f t="shared" si="60"/>
        <v>0</v>
      </c>
    </row>
    <row r="831" spans="1:252" s="21" customFormat="1" ht="13.5" thickBot="1" x14ac:dyDescent="0.35">
      <c r="A831" s="1" t="s">
        <v>73</v>
      </c>
      <c r="B831" s="111">
        <f>IF(AND('AES Indiana Sep 23 Bill Calc.'!$D$17="HL2",'AES Indiana Sep 23 Bill Calc.'!$D$18="Yes 100%",'AES Indiana Sep 23 Bill Calc.'!$D$20="Yes 2019"),'AES Indiana Sep 23 Bill Calc.'!$D$19,-1)</f>
        <v>-1</v>
      </c>
      <c r="C831" s="111">
        <f>MAX(E831,$C$701)</f>
        <v>2000</v>
      </c>
      <c r="D831" s="111" t="b">
        <f>IF(AND('AES Indiana Sep 23 Bill Calc.'!$D$17="HL2",'AES Indiana Sep 23 Bill Calc.'!$D$18="Yes 100%",'AES Indiana Sep 23 Bill Calc.'!$D$20="Yes 2019"),'AES Indiana Sep 23 Bill Calc.'!$D$22)</f>
        <v>0</v>
      </c>
      <c r="E831" s="111" t="b">
        <f>IF(AND('AES Indiana Sep 23 Bill Calc.'!$D$17="HL2",'AES Indiana Sep 23 Bill Calc.'!$D$18="Yes 100%",'AES Indiana Sep 23 Bill Calc.'!$D$20="Yes 2019"),'AES Indiana Sep 23 Bill Calc.'!$D$21)</f>
        <v>0</v>
      </c>
      <c r="F831" s="37" t="s">
        <v>153</v>
      </c>
      <c r="G831" s="113" t="e">
        <f>SUM(J831:M831,R831:AA831)</f>
        <v>#N/A</v>
      </c>
      <c r="H831" s="19" t="e">
        <f>IF(ISBLANK(B831),0,+#REF!/B831)</f>
        <v>#REF!</v>
      </c>
      <c r="I831"/>
      <c r="J831" s="134">
        <f t="shared" si="57"/>
        <v>211.78</v>
      </c>
      <c r="K831" s="113">
        <f t="shared" si="58"/>
        <v>-0.04</v>
      </c>
      <c r="L831" s="17">
        <f>IF(ISBLANK($C831),0,IF($C831&lt;$C$797,ROUND($C$797*$L$796,2),IF($C831&gt;L$797,ROUND(L$797*L$796,2),ROUND($C831*L$796,2))))</f>
        <v>44300</v>
      </c>
      <c r="M831" s="17">
        <f>IF($C831&gt;L$797,ROUND(($C831-L$797)*M$796,2),0)</f>
        <v>0</v>
      </c>
      <c r="N831" s="17">
        <f>K831</f>
        <v>-0.04</v>
      </c>
      <c r="O831" s="113"/>
      <c r="P831" s="113"/>
      <c r="Q831" s="17">
        <f>SUM(L831:M831)</f>
        <v>44300</v>
      </c>
      <c r="R831" s="135" t="e">
        <f>ROUND(SUM(K831:M831)*(R830-1),2)</f>
        <v>#N/A</v>
      </c>
      <c r="S831" s="113">
        <f>ROUND($B831*S$796*S830,2)</f>
        <v>0</v>
      </c>
      <c r="T831" s="113">
        <f>ROUND($B831*T$796,2)</f>
        <v>0</v>
      </c>
      <c r="U831" s="113">
        <f>ROUND($B831*U$796,2)</f>
        <v>0</v>
      </c>
      <c r="V831" s="33">
        <f>ROUND($B831*$V$791,2)</f>
        <v>0</v>
      </c>
      <c r="W831" s="113">
        <f>ROUND($B831*W$796,2)</f>
        <v>0</v>
      </c>
      <c r="X831" s="113">
        <f>ROUND($B831*X$796,2)</f>
        <v>0</v>
      </c>
      <c r="Y831" s="113">
        <f>ROUND($B831*Y$796,2)</f>
        <v>0</v>
      </c>
      <c r="Z831" s="113">
        <f>ROUND($B831*Z$796,2)</f>
        <v>0</v>
      </c>
      <c r="AA831" s="113">
        <f>ROUND($B831*AA$796,2)</f>
        <v>0</v>
      </c>
      <c r="AB831" s="19">
        <f>SUM(U$796:AA$796)+(-V$796+V817)</f>
        <v>2.3760000000000005E-3</v>
      </c>
      <c r="AC831" s="130" t="str">
        <f t="shared" si="60"/>
        <v>HL29</v>
      </c>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row>
    <row r="832" spans="1:252" ht="13" x14ac:dyDescent="0.3">
      <c r="A832" s="9"/>
      <c r="B832" s="111">
        <v>-1</v>
      </c>
      <c r="D832" s="33"/>
      <c r="E832" s="127"/>
      <c r="F832" s="37"/>
      <c r="G832" s="113"/>
      <c r="H832" s="19" t="e">
        <f>IF(ISBLANK(B832),0,+#REF!/B832)</f>
        <v>#REF!</v>
      </c>
      <c r="J832" s="134">
        <f t="shared" si="57"/>
        <v>211.78</v>
      </c>
      <c r="K832" s="113">
        <f t="shared" si="58"/>
        <v>-0.04</v>
      </c>
      <c r="L832" s="113">
        <f>IF(ISBLANK($E832),0,IF($E832&lt;$C$797,ROUND($C$797*$L$796,2),IF($E832&gt;L$797,ROUND(L$797*L$796,2),ROUND($E832*L$796,2))))</f>
        <v>0</v>
      </c>
      <c r="M832" s="113">
        <f>IF($E832&gt;L$797,ROUND(($E832-L$797)*M$796,2),0)</f>
        <v>0</v>
      </c>
      <c r="N832" s="113"/>
      <c r="O832" s="113"/>
      <c r="P832" s="113"/>
      <c r="Q832" s="113"/>
      <c r="R832" s="16" t="e">
        <f>VLOOKUP((D833),'Pwr Factor'!$A$1:$B$52,2)</f>
        <v>#N/A</v>
      </c>
      <c r="S832" s="51">
        <v>0.5</v>
      </c>
      <c r="T832" s="113"/>
      <c r="U832" s="113"/>
      <c r="V832" s="33"/>
      <c r="W832" s="113"/>
      <c r="X832" s="113"/>
      <c r="Y832" s="113"/>
      <c r="Z832" s="113"/>
      <c r="AA832" s="113"/>
      <c r="AB832" s="19"/>
      <c r="AC832" s="130">
        <f t="shared" si="60"/>
        <v>0</v>
      </c>
    </row>
    <row r="833" spans="1:29" ht="13" x14ac:dyDescent="0.3">
      <c r="A833" s="57" t="s">
        <v>171</v>
      </c>
      <c r="B833" s="111">
        <f>IF(AND('AES Indiana Sep 23 Bill Calc.'!$D$17="HL2",'AES Indiana Sep 23 Bill Calc.'!$D$18="Yes 50%",'AES Indiana Sep 23 Bill Calc.'!$D$20="Yes 2019"),'AES Indiana Sep 23 Bill Calc.'!$D$19,-1)</f>
        <v>-1</v>
      </c>
      <c r="C833" s="111">
        <f>MAX(E833,$C$701)</f>
        <v>2000</v>
      </c>
      <c r="D833" s="111" t="b">
        <f>IF(AND('AES Indiana Sep 23 Bill Calc.'!$D$17="HL2",'AES Indiana Sep 23 Bill Calc.'!$D$18="Yes 50%",'AES Indiana Sep 23 Bill Calc.'!$D$20="Yes 2019"),'AES Indiana Sep 23 Bill Calc.'!$D$22)</f>
        <v>0</v>
      </c>
      <c r="E833" s="111" t="b">
        <f>IF(AND('AES Indiana Sep 23 Bill Calc.'!$D$17="HL2",'AES Indiana Sep 23 Bill Calc.'!$D$18="Yes 50%",'AES Indiana Sep 23 Bill Calc.'!$D$20="Yes 2019"),'AES Indiana Sep 23 Bill Calc.'!$D$21)</f>
        <v>0</v>
      </c>
      <c r="F833" s="37" t="s">
        <v>153</v>
      </c>
      <c r="G833" s="113" t="e">
        <f>SUM(J833:M833,R833:AA833)</f>
        <v>#N/A</v>
      </c>
      <c r="H833" s="19" t="e">
        <f>IF(ISBLANK(B833),0,+#REF!/B833)</f>
        <v>#REF!</v>
      </c>
      <c r="J833" s="134">
        <f t="shared" si="57"/>
        <v>211.78</v>
      </c>
      <c r="K833" s="113">
        <f t="shared" si="58"/>
        <v>-0.04</v>
      </c>
      <c r="L833" s="17">
        <f>IF(ISBLANK($C833),0,IF($C833&lt;$C$797,ROUND($C$797*$L$796,2),IF($C833&gt;L$797,ROUND(L$797*L$796,2),ROUND($C833*L$796,2))))</f>
        <v>44300</v>
      </c>
      <c r="M833" s="17">
        <f>IF($C833&gt;L$797,ROUND(($C833-L$797)*M$796,2),0)</f>
        <v>0</v>
      </c>
      <c r="N833" s="17">
        <f>K833</f>
        <v>-0.04</v>
      </c>
      <c r="O833" s="113"/>
      <c r="P833" s="113"/>
      <c r="Q833" s="17">
        <f>SUM(L833:M833)</f>
        <v>44300</v>
      </c>
      <c r="R833" s="135" t="e">
        <f>ROUND(SUM(K833:M833)*(R832-1),2)</f>
        <v>#N/A</v>
      </c>
      <c r="S833" s="113">
        <f>ROUND($B833*S$796*S832,2)</f>
        <v>0</v>
      </c>
      <c r="T833" s="113">
        <f>ROUND($B833*T$796,2)</f>
        <v>0</v>
      </c>
      <c r="U833" s="113">
        <f>ROUND($B833*U$796,2)</f>
        <v>0</v>
      </c>
      <c r="V833" s="33">
        <f>ROUND($B833*$V$791,2)</f>
        <v>0</v>
      </c>
      <c r="W833" s="113">
        <f>ROUND($B833*W$796,2)</f>
        <v>0</v>
      </c>
      <c r="X833" s="113">
        <f>ROUND($B833*X$796,2)</f>
        <v>0</v>
      </c>
      <c r="Y833" s="113">
        <f>ROUND($B833*Y$796,2)</f>
        <v>0</v>
      </c>
      <c r="Z833" s="113">
        <f>ROUND($B833*Z$796,2)</f>
        <v>0</v>
      </c>
      <c r="AA833" s="113">
        <f>ROUND($B833*AA$796,2)</f>
        <v>0</v>
      </c>
      <c r="AB833" s="19">
        <f>SUM(U$796:AA$796)+(-V$796+V819)</f>
        <v>2.3760000000000005E-3</v>
      </c>
      <c r="AC833" s="130" t="str">
        <f t="shared" si="60"/>
        <v>HL29</v>
      </c>
    </row>
    <row r="834" spans="1:29" ht="13" x14ac:dyDescent="0.3">
      <c r="A834" s="9"/>
      <c r="B834" s="111">
        <v>-1</v>
      </c>
      <c r="D834" s="33"/>
      <c r="E834" s="127"/>
      <c r="F834" s="37"/>
      <c r="G834" s="113"/>
      <c r="H834" s="19" t="e">
        <f>IF(ISBLANK(B834),0,+#REF!/B834)</f>
        <v>#REF!</v>
      </c>
      <c r="J834" s="134">
        <f t="shared" si="57"/>
        <v>211.78</v>
      </c>
      <c r="K834" s="113">
        <f t="shared" si="58"/>
        <v>-0.04</v>
      </c>
      <c r="L834" s="113">
        <f>IF(ISBLANK($E834),0,IF($E834&lt;$C$797,ROUND($C$797*$L$796,2),IF($E834&gt;L$797,ROUND(L$797*L$796,2),ROUND($E834*L$796,2))))</f>
        <v>0</v>
      </c>
      <c r="M834" s="113">
        <f>IF($E834&gt;L$797,ROUND(($E834-L$797)*M$796,2),0)</f>
        <v>0</v>
      </c>
      <c r="N834" s="113"/>
      <c r="O834" s="113"/>
      <c r="P834" s="113"/>
      <c r="Q834" s="113"/>
      <c r="R834" s="16" t="e">
        <f>VLOOKUP((D835),'Pwr Factor'!$A$1:$B$52,2)</f>
        <v>#N/A</v>
      </c>
      <c r="S834" s="51">
        <v>0.25</v>
      </c>
      <c r="T834" s="113"/>
      <c r="U834" s="113"/>
      <c r="V834" s="33"/>
      <c r="W834" s="113"/>
      <c r="X834" s="113"/>
      <c r="Y834" s="113"/>
      <c r="Z834" s="113"/>
      <c r="AA834" s="113"/>
      <c r="AB834" s="19"/>
      <c r="AC834" s="130">
        <f t="shared" si="60"/>
        <v>0</v>
      </c>
    </row>
    <row r="835" spans="1:29" ht="13" x14ac:dyDescent="0.3">
      <c r="A835" s="57" t="s">
        <v>158</v>
      </c>
      <c r="B835" s="111">
        <f>IF(AND('AES Indiana Sep 23 Bill Calc.'!$D$17="HL2",'AES Indiana Sep 23 Bill Calc.'!$D$18="Yes 25%",'AES Indiana Sep 23 Bill Calc.'!$D$20="Yes 2019"),'AES Indiana Sep 23 Bill Calc.'!$D$19,-1)</f>
        <v>-1</v>
      </c>
      <c r="C835" s="111">
        <f>MAX(E835,$C$701)</f>
        <v>2000</v>
      </c>
      <c r="D835" s="111" t="b">
        <f>IF(AND('AES Indiana Sep 23 Bill Calc.'!$D$17="HL2",'AES Indiana Sep 23 Bill Calc.'!$D$18="Yes 25%",'AES Indiana Sep 23 Bill Calc.'!$D$20="Yes 2019"),'AES Indiana Sep 23 Bill Calc.'!$D$22)</f>
        <v>0</v>
      </c>
      <c r="E835" s="111" t="b">
        <f>IF(AND('AES Indiana Sep 23 Bill Calc.'!$D$17="HL2",'AES Indiana Sep 23 Bill Calc.'!$D$18="Yes 25%",'AES Indiana Sep 23 Bill Calc.'!$D$20="Yes 2019"),'AES Indiana Sep 23 Bill Calc.'!$D$21)</f>
        <v>0</v>
      </c>
      <c r="F835" s="37" t="s">
        <v>153</v>
      </c>
      <c r="G835" s="113" t="e">
        <f>SUM(J835:M835,R835:AA835)</f>
        <v>#N/A</v>
      </c>
      <c r="H835" s="19" t="e">
        <f>IF(ISBLANK(B835),0,+#REF!/B835)</f>
        <v>#REF!</v>
      </c>
      <c r="J835" s="134">
        <f t="shared" si="57"/>
        <v>211.78</v>
      </c>
      <c r="K835" s="113">
        <f t="shared" si="58"/>
        <v>-0.04</v>
      </c>
      <c r="L835" s="17">
        <f>IF(ISBLANK($C835),0,IF($C835&lt;$C$797,ROUND($C$797*$L$796,2),IF($C835&gt;L$797,ROUND(L$797*L$796,2),ROUND($C835*L$796,2))))</f>
        <v>44300</v>
      </c>
      <c r="M835" s="17">
        <f>IF($C835&gt;L$797,ROUND(($C835-L$797)*M$796,2),0)</f>
        <v>0</v>
      </c>
      <c r="N835" s="17">
        <f>K835</f>
        <v>-0.04</v>
      </c>
      <c r="O835" s="113"/>
      <c r="P835" s="113"/>
      <c r="Q835" s="17">
        <f>SUM(L835:M835)</f>
        <v>44300</v>
      </c>
      <c r="R835" s="135" t="e">
        <f>ROUND(SUM(K835:M835)*(R834-1),2)</f>
        <v>#N/A</v>
      </c>
      <c r="S835" s="113">
        <f>ROUND($B835*S$796*S834,2)</f>
        <v>0</v>
      </c>
      <c r="T835" s="113">
        <f>ROUND($B835*T$796,2)</f>
        <v>0</v>
      </c>
      <c r="U835" s="113">
        <f>ROUND($B835*U$796,2)</f>
        <v>0</v>
      </c>
      <c r="V835" s="33">
        <f>ROUND($B835*$V$791,2)</f>
        <v>0</v>
      </c>
      <c r="W835" s="113">
        <f>ROUND($B835*W$796,2)</f>
        <v>0</v>
      </c>
      <c r="X835" s="113">
        <f>ROUND($B835*X$796,2)</f>
        <v>0</v>
      </c>
      <c r="Y835" s="113">
        <f>ROUND($B835*Y$796,2)</f>
        <v>0</v>
      </c>
      <c r="Z835" s="113">
        <f>ROUND($B835*Z$796,2)</f>
        <v>0</v>
      </c>
      <c r="AA835" s="113">
        <f>ROUND($B835*AA$796,2)</f>
        <v>0</v>
      </c>
      <c r="AB835" s="19">
        <f>SUM(U$796:AA$796)+(-V$796+V821)</f>
        <v>2.3760000000000005E-3</v>
      </c>
      <c r="AC835" s="130" t="str">
        <f t="shared" si="60"/>
        <v>HL29</v>
      </c>
    </row>
    <row r="836" spans="1:29" ht="13" x14ac:dyDescent="0.3">
      <c r="A836" s="9"/>
      <c r="B836" s="111">
        <v>-1</v>
      </c>
      <c r="D836" s="33"/>
      <c r="E836" s="127"/>
      <c r="F836" s="37"/>
      <c r="G836" s="113"/>
      <c r="H836" s="19" t="e">
        <f>IF(ISBLANK(B836),0,+#REF!/B836)</f>
        <v>#REF!</v>
      </c>
      <c r="J836" s="134">
        <f t="shared" si="57"/>
        <v>211.78</v>
      </c>
      <c r="K836" s="113">
        <f t="shared" si="58"/>
        <v>-0.04</v>
      </c>
      <c r="L836" s="113">
        <f>IF(ISBLANK($E836),0,IF($E836&lt;$C$797,ROUND($C$797*$L$796,2),IF($E836&gt;L$797,ROUND(L$797*L$796,2),ROUND($E836*L$796,2))))</f>
        <v>0</v>
      </c>
      <c r="M836" s="113">
        <f>IF($E836&gt;L$797,ROUND(($E836-L$797)*M$796,2),0)</f>
        <v>0</v>
      </c>
      <c r="N836" s="113"/>
      <c r="O836" s="113"/>
      <c r="P836" s="113"/>
      <c r="Q836" s="113"/>
      <c r="R836" s="16" t="e">
        <f>VLOOKUP((D837),'Pwr Factor'!$A$1:$B$52,2)</f>
        <v>#N/A</v>
      </c>
      <c r="S836" s="51">
        <v>0.1</v>
      </c>
      <c r="T836" s="113"/>
      <c r="U836" s="113"/>
      <c r="V836" s="33"/>
      <c r="W836" s="113"/>
      <c r="X836" s="113"/>
      <c r="Y836" s="113"/>
      <c r="Z836" s="113"/>
      <c r="AA836" s="113"/>
      <c r="AB836" s="19"/>
      <c r="AC836" s="130">
        <f t="shared" si="60"/>
        <v>0</v>
      </c>
    </row>
    <row r="837" spans="1:29" ht="13" x14ac:dyDescent="0.3">
      <c r="A837" s="57" t="s">
        <v>173</v>
      </c>
      <c r="B837" s="111">
        <f>IF(AND('AES Indiana Sep 23 Bill Calc.'!$D$17="HL2",'AES Indiana Sep 23 Bill Calc.'!$D$18="Yes 10%",'AES Indiana Sep 23 Bill Calc.'!$D$20="Yes 2019"),'AES Indiana Sep 23 Bill Calc.'!$D$19,-1)</f>
        <v>-1</v>
      </c>
      <c r="C837" s="111">
        <f>MAX(E837,$C$701)</f>
        <v>2000</v>
      </c>
      <c r="D837" s="111" t="b">
        <f>IF(AND('AES Indiana Sep 23 Bill Calc.'!$D$17="HL2",'AES Indiana Sep 23 Bill Calc.'!$D$18="Yes 10%",'AES Indiana Sep 23 Bill Calc.'!$D$20="Yes 2019"),'AES Indiana Sep 23 Bill Calc.'!$D$22)</f>
        <v>0</v>
      </c>
      <c r="E837" s="111" t="b">
        <f>IF(AND('AES Indiana Sep 23 Bill Calc.'!$D$17="HL2",'AES Indiana Sep 23 Bill Calc.'!$D$18="Yes 10%",'AES Indiana Sep 23 Bill Calc.'!$D$20="Yes 2019"),'AES Indiana Sep 23 Bill Calc.'!$D$21)</f>
        <v>0</v>
      </c>
      <c r="F837" s="37" t="s">
        <v>153</v>
      </c>
      <c r="G837" s="113" t="e">
        <f>SUM(J837:M837,R837:AA837)</f>
        <v>#N/A</v>
      </c>
      <c r="H837" s="19" t="e">
        <f>IF(ISBLANK(B837),0,+#REF!/B837)</f>
        <v>#REF!</v>
      </c>
      <c r="J837" s="134">
        <f t="shared" si="57"/>
        <v>211.78</v>
      </c>
      <c r="K837" s="113">
        <f t="shared" si="58"/>
        <v>-0.04</v>
      </c>
      <c r="L837" s="17">
        <f>IF(ISBLANK($C837),0,IF($C837&lt;$C$797,ROUND($C$797*$L$796,2),IF($C837&gt;L$797,ROUND(L$797*L$796,2),ROUND($C837*L$796,2))))</f>
        <v>44300</v>
      </c>
      <c r="M837" s="17">
        <f>IF($C837&gt;L$797,ROUND(($C837-L$797)*M$796,2),0)</f>
        <v>0</v>
      </c>
      <c r="N837" s="17">
        <f>K837</f>
        <v>-0.04</v>
      </c>
      <c r="O837" s="113"/>
      <c r="P837" s="113"/>
      <c r="Q837" s="17">
        <f>SUM(L837:M837)</f>
        <v>44300</v>
      </c>
      <c r="R837" s="135" t="e">
        <f>ROUND(SUM(K837:M837)*(R836-1),2)</f>
        <v>#N/A</v>
      </c>
      <c r="S837" s="113">
        <f>ROUND($B837*S$796*S836,2)</f>
        <v>0</v>
      </c>
      <c r="T837" s="113">
        <f>ROUND($B837*T$796,2)</f>
        <v>0</v>
      </c>
      <c r="U837" s="113">
        <f>ROUND($B837*U$796,2)</f>
        <v>0</v>
      </c>
      <c r="V837" s="33">
        <f>ROUND($B837*$V$791,2)</f>
        <v>0</v>
      </c>
      <c r="W837" s="113">
        <f>ROUND($B837*W$796,2)</f>
        <v>0</v>
      </c>
      <c r="X837" s="113">
        <f>ROUND($B837*X$796,2)</f>
        <v>0</v>
      </c>
      <c r="Y837" s="113">
        <f>ROUND($B837*Y$796,2)</f>
        <v>0</v>
      </c>
      <c r="Z837" s="113">
        <f>ROUND($B837*Z$796,2)</f>
        <v>0</v>
      </c>
      <c r="AA837" s="113">
        <f>ROUND($B837*AA$796,2)</f>
        <v>0</v>
      </c>
      <c r="AB837" s="19">
        <f>SUM(U$796:AA$796)+(-V$796+V823)</f>
        <v>2.3760000000000005E-3</v>
      </c>
      <c r="AC837" s="130" t="str">
        <f t="shared" si="60"/>
        <v>HL29</v>
      </c>
    </row>
    <row r="838" spans="1:29" ht="13" x14ac:dyDescent="0.3">
      <c r="A838" s="9"/>
      <c r="B838" s="111">
        <v>-1</v>
      </c>
      <c r="D838" s="33"/>
      <c r="E838" s="127"/>
      <c r="F838" s="37"/>
      <c r="G838" s="113"/>
      <c r="H838" s="19" t="e">
        <f>IF(ISBLANK(B838),0,+#REF!/B838)</f>
        <v>#REF!</v>
      </c>
      <c r="J838" s="134">
        <f t="shared" si="57"/>
        <v>211.78</v>
      </c>
      <c r="K838" s="113">
        <f t="shared" si="58"/>
        <v>-0.04</v>
      </c>
      <c r="L838" s="113">
        <f>IF(ISBLANK($E838),0,IF($E838&lt;$C$797,ROUND($C$797*$L$796,2),IF($E838&gt;L$797,ROUND(L$797*L$796,2),ROUND($E838*L$796,2))))</f>
        <v>0</v>
      </c>
      <c r="M838" s="113">
        <f>IF($E838&gt;L$797,ROUND(($E838-L$797)*M$796,2),0)</f>
        <v>0</v>
      </c>
      <c r="N838" s="113"/>
      <c r="O838" s="113"/>
      <c r="P838" s="113"/>
      <c r="Q838" s="113"/>
      <c r="R838" s="16" t="e">
        <f>VLOOKUP((D839),'Pwr Factor'!$A$1:$B$52,2)</f>
        <v>#N/A</v>
      </c>
      <c r="S838" s="51">
        <v>0</v>
      </c>
      <c r="T838" s="113"/>
      <c r="U838" s="113"/>
      <c r="V838" s="33"/>
      <c r="W838" s="113"/>
      <c r="X838" s="113"/>
      <c r="Y838" s="113"/>
      <c r="Z838" s="113"/>
      <c r="AA838" s="113"/>
      <c r="AB838" s="19"/>
      <c r="AC838" s="130">
        <f t="shared" si="60"/>
        <v>0</v>
      </c>
    </row>
    <row r="839" spans="1:29" ht="13" x14ac:dyDescent="0.3">
      <c r="A839" s="57" t="s">
        <v>172</v>
      </c>
      <c r="B839" s="111">
        <f>IF(AND('AES Indiana Sep 23 Bill Calc.'!$D$17="HL2",'AES Indiana Sep 23 Bill Calc.'!$D$18="No",'AES Indiana Sep 23 Bill Calc.'!$D$20="Yes 2019"),'AES Indiana Sep 23 Bill Calc.'!$D$19,-1)</f>
        <v>-1</v>
      </c>
      <c r="C839" s="111">
        <f>MAX(E839,$C$701)</f>
        <v>2000</v>
      </c>
      <c r="D839" s="111" t="b">
        <f>IF(AND('AES Indiana Sep 23 Bill Calc.'!$D$17="HL2",'AES Indiana Sep 23 Bill Calc.'!$D$18="No",'AES Indiana Sep 23 Bill Calc.'!$D$20="Yes 2019"),'AES Indiana Sep 23 Bill Calc.'!$D$22)</f>
        <v>0</v>
      </c>
      <c r="E839" s="111" t="b">
        <f>IF(AND('AES Indiana Sep 23 Bill Calc.'!$D$17="HL2",'AES Indiana Sep 23 Bill Calc.'!$D$18="No",'AES Indiana Sep 23 Bill Calc.'!$D$20="Yes 2019"),'AES Indiana Sep 23 Bill Calc.'!$D$21)</f>
        <v>0</v>
      </c>
      <c r="F839" s="37" t="s">
        <v>153</v>
      </c>
      <c r="G839" s="113" t="e">
        <f>SUM(J839:M839,R839:AA839)</f>
        <v>#N/A</v>
      </c>
      <c r="H839" s="19" t="e">
        <f>IF(ISBLANK(B839),0,+#REF!/B839)</f>
        <v>#REF!</v>
      </c>
      <c r="J839" s="134">
        <f t="shared" si="57"/>
        <v>211.78</v>
      </c>
      <c r="K839" s="113">
        <f t="shared" si="58"/>
        <v>-0.04</v>
      </c>
      <c r="L839" s="17">
        <f>IF(ISBLANK($C839),0,IF($C839&lt;$C$797,ROUND($C$797*$L$796,2),IF($C839&gt;L$797,ROUND(L$797*L$796,2),ROUND($C839*L$796,2))))</f>
        <v>44300</v>
      </c>
      <c r="M839" s="17">
        <f>IF($C839&gt;L$797,ROUND(($C839-L$797)*M$796,2),0)</f>
        <v>0</v>
      </c>
      <c r="N839" s="17">
        <f>K839</f>
        <v>-0.04</v>
      </c>
      <c r="O839" s="113"/>
      <c r="P839" s="113"/>
      <c r="Q839" s="17">
        <f>SUM(L839:M839)</f>
        <v>44300</v>
      </c>
      <c r="R839" s="135" t="e">
        <f>ROUND(SUM(K839:M839)*(R838-1),2)</f>
        <v>#N/A</v>
      </c>
      <c r="S839" s="113">
        <f>ROUND($B839*S$796*S838,2)</f>
        <v>0</v>
      </c>
      <c r="T839" s="113">
        <f>ROUND($B839*T$796,2)</f>
        <v>0</v>
      </c>
      <c r="U839" s="113">
        <f>ROUND($B839*U$796,2)</f>
        <v>0</v>
      </c>
      <c r="V839" s="33">
        <f>ROUND($B839*$V$791,2)</f>
        <v>0</v>
      </c>
      <c r="W839" s="113">
        <f>ROUND($B839*W$796,2)</f>
        <v>0</v>
      </c>
      <c r="X839" s="113">
        <f>ROUND($B839*X$796,2)</f>
        <v>0</v>
      </c>
      <c r="Y839" s="113">
        <f>ROUND($B839*Y$796,2)</f>
        <v>0</v>
      </c>
      <c r="Z839" s="113">
        <f>ROUND($B839*Z$796,2)</f>
        <v>0</v>
      </c>
      <c r="AA839" s="113">
        <f>ROUND($B839*AA$796,2)</f>
        <v>0</v>
      </c>
      <c r="AB839" s="19">
        <f>SUM(U$796:AA$796)+(-V$796+V825)</f>
        <v>2.3760000000000005E-3</v>
      </c>
      <c r="AC839" s="130" t="str">
        <f t="shared" si="60"/>
        <v>HL29</v>
      </c>
    </row>
    <row r="840" spans="1:29" ht="13" x14ac:dyDescent="0.3">
      <c r="B840" s="111">
        <v>-1</v>
      </c>
      <c r="D840" s="33"/>
      <c r="E840" s="127"/>
      <c r="F840" s="37"/>
      <c r="G840" s="113"/>
      <c r="H840" s="19" t="e">
        <f>IF(ISBLANK(B840),0,+#REF!/B840)</f>
        <v>#REF!</v>
      </c>
      <c r="J840" s="134">
        <f t="shared" si="57"/>
        <v>211.78</v>
      </c>
      <c r="K840" s="113">
        <f t="shared" si="58"/>
        <v>-0.04</v>
      </c>
      <c r="L840" s="113">
        <f>IF(ISBLANK($E840),0,IF($E840&lt;$C$797,ROUND($C$797*$L$796,2),IF($E840&gt;L$797,ROUND(L$797*L$796,2),ROUND($E840*L$796,2))))</f>
        <v>0</v>
      </c>
      <c r="M840" s="113">
        <f>IF($E840&gt;L$797,ROUND(($E840-L$797)*M$796,2),0)</f>
        <v>0</v>
      </c>
      <c r="N840" s="113"/>
      <c r="O840" s="113"/>
      <c r="P840" s="113"/>
      <c r="Q840" s="113"/>
      <c r="R840" s="16" t="e">
        <f>VLOOKUP((D841),'Pwr Factor'!$A$1:$B$52,2)</f>
        <v>#N/A</v>
      </c>
      <c r="S840" s="51">
        <v>1</v>
      </c>
      <c r="T840" s="113"/>
      <c r="U840" s="113"/>
      <c r="V840" s="33"/>
      <c r="W840" s="113"/>
      <c r="X840" s="113"/>
      <c r="Y840" s="113"/>
      <c r="Z840" s="113"/>
      <c r="AA840" s="113"/>
      <c r="AB840" s="19"/>
      <c r="AC840" s="130">
        <f t="shared" si="60"/>
        <v>0</v>
      </c>
    </row>
    <row r="841" spans="1:29" ht="13" x14ac:dyDescent="0.3">
      <c r="A841" s="1" t="s">
        <v>73</v>
      </c>
      <c r="B841" s="111">
        <f>IF(AND('AES Indiana Sep 23 Bill Calc.'!$D$17="HL2",'AES Indiana Sep 23 Bill Calc.'!$D$18="Yes 100%",'AES Indiana Sep 23 Bill Calc.'!$D$20="Yes 2020"),'AES Indiana Sep 23 Bill Calc.'!$D$19,-1)</f>
        <v>-1</v>
      </c>
      <c r="C841" s="111">
        <f>MAX(E841,$C$701)</f>
        <v>2000</v>
      </c>
      <c r="D841" s="111" t="b">
        <f>IF(AND('AES Indiana Sep 23 Bill Calc.'!$D$17="HL2",'AES Indiana Sep 23 Bill Calc.'!$D$18="Yes 100%",'AES Indiana Sep 23 Bill Calc.'!$D$20="Yes 2020"),'AES Indiana Sep 23 Bill Calc.'!$D$22)</f>
        <v>0</v>
      </c>
      <c r="E841" s="111" t="b">
        <f>IF(AND('AES Indiana Sep 23 Bill Calc.'!$D$17="HL2",'AES Indiana Sep 23 Bill Calc.'!$D$18="Yes 100%",'AES Indiana Sep 23 Bill Calc.'!$D$20="Yes 2020"),'AES Indiana Sep 23 Bill Calc.'!$D$21)</f>
        <v>0</v>
      </c>
      <c r="F841" s="37" t="s">
        <v>154</v>
      </c>
      <c r="G841" s="113" t="e">
        <f>SUM(J841:M841,R841:AA841)</f>
        <v>#N/A</v>
      </c>
      <c r="H841" s="19" t="e">
        <f>IF(ISBLANK(B841),0,+#REF!/B841)</f>
        <v>#REF!</v>
      </c>
      <c r="J841" s="134">
        <f t="shared" ref="J841:J872" si="61">IF(ISBLANK(B841),0,+J$796)</f>
        <v>211.78</v>
      </c>
      <c r="K841" s="113">
        <f t="shared" ref="K841:K872" si="62">ROUND($B841*K$796,2)</f>
        <v>-0.04</v>
      </c>
      <c r="L841" s="17">
        <f>IF(ISBLANK($C841),0,IF($C841&lt;$C$797,ROUND($C$797*$L$796,2),IF($C841&gt;L$797,ROUND(L$797*L$796,2),ROUND($C841*L$796,2))))</f>
        <v>44300</v>
      </c>
      <c r="M841" s="17">
        <f>IF($C841&gt;L$797,ROUND(($C841-L$797)*M$796,2),0)</f>
        <v>0</v>
      </c>
      <c r="N841" s="17">
        <f>K841</f>
        <v>-0.04</v>
      </c>
      <c r="O841" s="113"/>
      <c r="P841" s="113"/>
      <c r="Q841" s="17">
        <f>SUM(L841:M841)</f>
        <v>44300</v>
      </c>
      <c r="R841" s="135" t="e">
        <f>ROUND(SUM(K841:M841)*(R840-1),2)</f>
        <v>#N/A</v>
      </c>
      <c r="S841" s="113">
        <f>ROUND($B841*S$796*S840,2)</f>
        <v>0</v>
      </c>
      <c r="T841" s="113">
        <f>ROUND($B841*T$796,2)</f>
        <v>0</v>
      </c>
      <c r="U841" s="113">
        <f>ROUND($B841*U$796,2)</f>
        <v>0</v>
      </c>
      <c r="V841" s="33">
        <f>ROUND($B841*$V$792,2)</f>
        <v>0</v>
      </c>
      <c r="W841" s="113">
        <f>ROUND($B841*W$796,2)</f>
        <v>0</v>
      </c>
      <c r="X841" s="113">
        <f>ROUND($B841*X$796,2)</f>
        <v>0</v>
      </c>
      <c r="Y841" s="113">
        <f>ROUND($B841*Y$796,2)</f>
        <v>0</v>
      </c>
      <c r="Z841" s="113">
        <f>ROUND($B841*Z$796,2)</f>
        <v>0</v>
      </c>
      <c r="AA841" s="113">
        <f>ROUND($B841*AA$796,2)</f>
        <v>0</v>
      </c>
      <c r="AB841" s="19">
        <f>SUM(U$796:AA$796)+(-V$796+V827)</f>
        <v>2.3760000000000005E-3</v>
      </c>
      <c r="AC841" s="130" t="str">
        <f t="shared" ref="AC841:AC872" si="63">+F841</f>
        <v>HL20</v>
      </c>
    </row>
    <row r="842" spans="1:29" ht="13" x14ac:dyDescent="0.3">
      <c r="A842" s="9"/>
      <c r="B842" s="111">
        <v>-1</v>
      </c>
      <c r="D842" s="33"/>
      <c r="E842" s="127"/>
      <c r="F842" s="37"/>
      <c r="G842" s="113"/>
      <c r="H842" s="19" t="e">
        <f>IF(ISBLANK(B842),0,+#REF!/B842)</f>
        <v>#REF!</v>
      </c>
      <c r="J842" s="134">
        <f t="shared" si="61"/>
        <v>211.78</v>
      </c>
      <c r="K842" s="113">
        <f t="shared" si="62"/>
        <v>-0.04</v>
      </c>
      <c r="L842" s="113">
        <f>IF(ISBLANK($E842),0,IF($E842&lt;$C$797,ROUND($C$797*$L$796,2),IF($E842&gt;L$797,ROUND(L$797*L$796,2),ROUND($E842*L$796,2))))</f>
        <v>0</v>
      </c>
      <c r="M842" s="113">
        <f>IF($E842&gt;L$797,ROUND(($E842-L$797)*M$796,2),0)</f>
        <v>0</v>
      </c>
      <c r="N842" s="113"/>
      <c r="O842" s="113"/>
      <c r="P842" s="113"/>
      <c r="Q842" s="113"/>
      <c r="R842" s="16" t="e">
        <f>VLOOKUP((D843),'Pwr Factor'!$A$1:$B$52,2)</f>
        <v>#N/A</v>
      </c>
      <c r="S842" s="51">
        <v>0.5</v>
      </c>
      <c r="T842" s="113"/>
      <c r="U842" s="113"/>
      <c r="V842" s="33"/>
      <c r="W842" s="113"/>
      <c r="X842" s="113"/>
      <c r="Y842" s="113"/>
      <c r="Z842" s="113"/>
      <c r="AA842" s="113"/>
      <c r="AB842" s="19"/>
      <c r="AC842" s="130">
        <f t="shared" si="63"/>
        <v>0</v>
      </c>
    </row>
    <row r="843" spans="1:29" ht="13" x14ac:dyDescent="0.3">
      <c r="A843" s="57" t="s">
        <v>171</v>
      </c>
      <c r="B843" s="111">
        <f>IF(AND('AES Indiana Sep 23 Bill Calc.'!$D$17="HL2",'AES Indiana Sep 23 Bill Calc.'!$D$18="Yes 50%",'AES Indiana Sep 23 Bill Calc.'!$D$20="Yes 2020"),'AES Indiana Sep 23 Bill Calc.'!$D$19,-1)</f>
        <v>-1</v>
      </c>
      <c r="C843" s="111">
        <f>MAX(E843,$C$701)</f>
        <v>2000</v>
      </c>
      <c r="D843" s="111" t="b">
        <f>IF(AND('AES Indiana Sep 23 Bill Calc.'!$D$17="HL2",'AES Indiana Sep 23 Bill Calc.'!$D$18="Yes 50%",'AES Indiana Sep 23 Bill Calc.'!$D$20="Yes 2020"),'AES Indiana Sep 23 Bill Calc.'!$D$22)</f>
        <v>0</v>
      </c>
      <c r="E843" s="111" t="b">
        <f>IF(AND('AES Indiana Sep 23 Bill Calc.'!$D$17="HL2",'AES Indiana Sep 23 Bill Calc.'!$D$18="Yes 50%",'AES Indiana Sep 23 Bill Calc.'!$D$20="Yes 2020"),'AES Indiana Sep 23 Bill Calc.'!$D$21)</f>
        <v>0</v>
      </c>
      <c r="F843" s="37" t="s">
        <v>154</v>
      </c>
      <c r="G843" s="113" t="e">
        <f>SUM(J843:M843,R843:AA843)</f>
        <v>#N/A</v>
      </c>
      <c r="H843" s="19" t="e">
        <f>IF(ISBLANK(B843),0,+#REF!/B843)</f>
        <v>#REF!</v>
      </c>
      <c r="J843" s="134">
        <f t="shared" si="61"/>
        <v>211.78</v>
      </c>
      <c r="K843" s="113">
        <f t="shared" si="62"/>
        <v>-0.04</v>
      </c>
      <c r="L843" s="17">
        <f>IF(ISBLANK($C843),0,IF($C843&lt;$C$797,ROUND($C$797*$L$796,2),IF($C843&gt;L$797,ROUND(L$797*L$796,2),ROUND($C843*L$796,2))))</f>
        <v>44300</v>
      </c>
      <c r="M843" s="17">
        <f>IF($C843&gt;L$797,ROUND(($C843-L$797)*M$796,2),0)</f>
        <v>0</v>
      </c>
      <c r="N843" s="17">
        <f>K843</f>
        <v>-0.04</v>
      </c>
      <c r="O843" s="113"/>
      <c r="P843" s="113"/>
      <c r="Q843" s="17">
        <f>SUM(L843:M843)</f>
        <v>44300</v>
      </c>
      <c r="R843" s="135" t="e">
        <f>ROUND(SUM(K843:M843)*(R842-1),2)</f>
        <v>#N/A</v>
      </c>
      <c r="S843" s="113">
        <f>ROUND($B843*S$796*S842,2)</f>
        <v>0</v>
      </c>
      <c r="T843" s="113">
        <f>ROUND($B843*T$796,2)</f>
        <v>0</v>
      </c>
      <c r="U843" s="113">
        <f>ROUND($B843*U$796,2)</f>
        <v>0</v>
      </c>
      <c r="V843" s="33">
        <f>ROUND($B843*$V$792,2)</f>
        <v>0</v>
      </c>
      <c r="W843" s="113">
        <f>ROUND($B843*W$796,2)</f>
        <v>0</v>
      </c>
      <c r="X843" s="113">
        <f>ROUND($B843*X$796,2)</f>
        <v>0</v>
      </c>
      <c r="Y843" s="113">
        <f>ROUND($B843*Y$796,2)</f>
        <v>0</v>
      </c>
      <c r="Z843" s="113">
        <f>ROUND($B843*Z$796,2)</f>
        <v>0</v>
      </c>
      <c r="AA843" s="113">
        <f>ROUND($B843*AA$796,2)</f>
        <v>0</v>
      </c>
      <c r="AB843" s="19">
        <f>SUM(U$796:AA$796)+(-V$796+V829)</f>
        <v>2.3760000000000005E-3</v>
      </c>
      <c r="AC843" s="130" t="str">
        <f t="shared" si="63"/>
        <v>HL20</v>
      </c>
    </row>
    <row r="844" spans="1:29" ht="13" x14ac:dyDescent="0.3">
      <c r="A844" s="9"/>
      <c r="B844" s="111">
        <v>-1</v>
      </c>
      <c r="D844" s="33"/>
      <c r="E844" s="127"/>
      <c r="F844" s="37"/>
      <c r="G844" s="113"/>
      <c r="H844" s="19" t="e">
        <f>IF(ISBLANK(B844),0,+#REF!/B844)</f>
        <v>#REF!</v>
      </c>
      <c r="J844" s="134">
        <f t="shared" si="61"/>
        <v>211.78</v>
      </c>
      <c r="K844" s="113">
        <f t="shared" si="62"/>
        <v>-0.04</v>
      </c>
      <c r="L844" s="113">
        <f>IF(ISBLANK($E844),0,IF($E844&lt;$C$797,ROUND($C$797*$L$796,2),IF($E844&gt;L$797,ROUND(L$797*L$796,2),ROUND($E844*L$796,2))))</f>
        <v>0</v>
      </c>
      <c r="M844" s="113">
        <f>IF($E844&gt;L$797,ROUND(($E844-L$797)*M$796,2),0)</f>
        <v>0</v>
      </c>
      <c r="N844" s="113"/>
      <c r="O844" s="113"/>
      <c r="P844" s="113"/>
      <c r="Q844" s="113"/>
      <c r="R844" s="16" t="e">
        <f>VLOOKUP((D845),'Pwr Factor'!$A$1:$B$52,2)</f>
        <v>#N/A</v>
      </c>
      <c r="S844" s="51">
        <v>0.25</v>
      </c>
      <c r="T844" s="113"/>
      <c r="U844" s="113"/>
      <c r="V844" s="33"/>
      <c r="W844" s="113"/>
      <c r="X844" s="113"/>
      <c r="Y844" s="113"/>
      <c r="Z844" s="113"/>
      <c r="AA844" s="113"/>
      <c r="AB844" s="19"/>
      <c r="AC844" s="130">
        <f t="shared" si="63"/>
        <v>0</v>
      </c>
    </row>
    <row r="845" spans="1:29" ht="13" x14ac:dyDescent="0.3">
      <c r="A845" s="57" t="s">
        <v>158</v>
      </c>
      <c r="B845" s="111">
        <f>IF(AND('AES Indiana Sep 23 Bill Calc.'!$D$17="HL2",'AES Indiana Sep 23 Bill Calc.'!$D$18="Yes 25%",'AES Indiana Sep 23 Bill Calc.'!$D$20="Yes 2020"),'AES Indiana Sep 23 Bill Calc.'!$D$19,-1)</f>
        <v>-1</v>
      </c>
      <c r="C845" s="111">
        <f>MAX(E845,$C$701)</f>
        <v>2000</v>
      </c>
      <c r="D845" s="111" t="b">
        <f>IF(AND('AES Indiana Sep 23 Bill Calc.'!$D$17="HL2",'AES Indiana Sep 23 Bill Calc.'!$D$18="Yes 25%",'AES Indiana Sep 23 Bill Calc.'!$D$20="Yes 2020"),'AES Indiana Sep 23 Bill Calc.'!$D$22)</f>
        <v>0</v>
      </c>
      <c r="E845" s="111" t="b">
        <f>IF(AND('AES Indiana Sep 23 Bill Calc.'!$D$17="HL2",'AES Indiana Sep 23 Bill Calc.'!$D$18="Yes 25%",'AES Indiana Sep 23 Bill Calc.'!$D$20="Yes 2020"),'AES Indiana Sep 23 Bill Calc.'!$D$21)</f>
        <v>0</v>
      </c>
      <c r="F845" s="37" t="s">
        <v>154</v>
      </c>
      <c r="G845" s="113" t="e">
        <f>SUM(J845:M845,R845:AA845)</f>
        <v>#N/A</v>
      </c>
      <c r="H845" s="19" t="e">
        <f>IF(ISBLANK(B845),0,+#REF!/B845)</f>
        <v>#REF!</v>
      </c>
      <c r="J845" s="134">
        <f t="shared" si="61"/>
        <v>211.78</v>
      </c>
      <c r="K845" s="113">
        <f t="shared" si="62"/>
        <v>-0.04</v>
      </c>
      <c r="L845" s="17">
        <f>IF(ISBLANK($C845),0,IF($C845&lt;$C$797,ROUND($C$797*$L$796,2),IF($C845&gt;L$797,ROUND(L$797*L$796,2),ROUND($C845*L$796,2))))</f>
        <v>44300</v>
      </c>
      <c r="M845" s="17">
        <f>IF($C845&gt;L$797,ROUND(($C845-L$797)*M$796,2),0)</f>
        <v>0</v>
      </c>
      <c r="N845" s="17">
        <f>K845</f>
        <v>-0.04</v>
      </c>
      <c r="O845" s="113"/>
      <c r="P845" s="113"/>
      <c r="Q845" s="17">
        <f>SUM(L845:M845)</f>
        <v>44300</v>
      </c>
      <c r="R845" s="135" t="e">
        <f>ROUND(SUM(K845:M845)*(R844-1),2)</f>
        <v>#N/A</v>
      </c>
      <c r="S845" s="113">
        <f>ROUND($B845*S$796*S844,2)</f>
        <v>0</v>
      </c>
      <c r="T845" s="113">
        <f>ROUND($B845*T$796,2)</f>
        <v>0</v>
      </c>
      <c r="U845" s="113">
        <f>ROUND($B845*U$796,2)</f>
        <v>0</v>
      </c>
      <c r="V845" s="33">
        <f>ROUND($B845*$V$792,2)</f>
        <v>0</v>
      </c>
      <c r="W845" s="113">
        <f>ROUND($B845*W$796,2)</f>
        <v>0</v>
      </c>
      <c r="X845" s="113">
        <f>ROUND($B845*X$796,2)</f>
        <v>0</v>
      </c>
      <c r="Y845" s="113">
        <f>ROUND($B845*Y$796,2)</f>
        <v>0</v>
      </c>
      <c r="Z845" s="113">
        <f>ROUND($B845*Z$796,2)</f>
        <v>0</v>
      </c>
      <c r="AA845" s="113">
        <f>ROUND($B845*AA$796,2)</f>
        <v>0</v>
      </c>
      <c r="AB845" s="19">
        <f>SUM(U$796:AA$796)+(-V$796+V831)</f>
        <v>2.3760000000000005E-3</v>
      </c>
      <c r="AC845" s="130" t="str">
        <f t="shared" si="63"/>
        <v>HL20</v>
      </c>
    </row>
    <row r="846" spans="1:29" ht="13" x14ac:dyDescent="0.3">
      <c r="A846" s="9"/>
      <c r="B846" s="111">
        <v>-1</v>
      </c>
      <c r="D846" s="33"/>
      <c r="E846" s="127"/>
      <c r="F846" s="37"/>
      <c r="G846" s="113"/>
      <c r="H846" s="19" t="e">
        <f>IF(ISBLANK(B846),0,+#REF!/B846)</f>
        <v>#REF!</v>
      </c>
      <c r="J846" s="134">
        <f t="shared" si="61"/>
        <v>211.78</v>
      </c>
      <c r="K846" s="113">
        <f t="shared" si="62"/>
        <v>-0.04</v>
      </c>
      <c r="L846" s="113">
        <f>IF(ISBLANK($E846),0,IF($E846&lt;$C$797,ROUND($C$797*$L$796,2),IF($E846&gt;L$797,ROUND(L$797*L$796,2),ROUND($E846*L$796,2))))</f>
        <v>0</v>
      </c>
      <c r="M846" s="113">
        <f>IF($E846&gt;L$797,ROUND(($E846-L$797)*M$796,2),0)</f>
        <v>0</v>
      </c>
      <c r="N846" s="113"/>
      <c r="O846" s="113"/>
      <c r="P846" s="113"/>
      <c r="Q846" s="113"/>
      <c r="R846" s="16" t="e">
        <f>VLOOKUP((D847),'Pwr Factor'!$A$1:$B$52,2)</f>
        <v>#N/A</v>
      </c>
      <c r="S846" s="51">
        <v>0.1</v>
      </c>
      <c r="T846" s="113"/>
      <c r="U846" s="113"/>
      <c r="V846" s="33"/>
      <c r="W846" s="113"/>
      <c r="X846" s="113"/>
      <c r="Y846" s="113"/>
      <c r="Z846" s="113"/>
      <c r="AA846" s="113"/>
      <c r="AB846" s="19"/>
      <c r="AC846" s="130">
        <f t="shared" si="63"/>
        <v>0</v>
      </c>
    </row>
    <row r="847" spans="1:29" ht="13" x14ac:dyDescent="0.3">
      <c r="A847" s="57" t="s">
        <v>173</v>
      </c>
      <c r="B847" s="111">
        <f>IF(AND('AES Indiana Sep 23 Bill Calc.'!$D$17="HL2",'AES Indiana Sep 23 Bill Calc.'!$D$18="Yes 10%",'AES Indiana Sep 23 Bill Calc.'!$D$20="Yes 2020"),'AES Indiana Sep 23 Bill Calc.'!$D$19,-1)</f>
        <v>-1</v>
      </c>
      <c r="C847" s="111">
        <f>MAX(E847,$C$701)</f>
        <v>2000</v>
      </c>
      <c r="D847" s="111" t="b">
        <f>IF(AND('AES Indiana Sep 23 Bill Calc.'!$D$17="HL2",'AES Indiana Sep 23 Bill Calc.'!$D$18="Yes 10%",'AES Indiana Sep 23 Bill Calc.'!$D$20="Yes 2020"),'AES Indiana Sep 23 Bill Calc.'!$D$22)</f>
        <v>0</v>
      </c>
      <c r="E847" s="111" t="b">
        <f>IF(AND('AES Indiana Sep 23 Bill Calc.'!$D$17="HL2",'AES Indiana Sep 23 Bill Calc.'!$D$18="Yes 10%",'AES Indiana Sep 23 Bill Calc.'!$D$20="Yes 2020"),'AES Indiana Sep 23 Bill Calc.'!$D$21)</f>
        <v>0</v>
      </c>
      <c r="F847" s="37" t="s">
        <v>154</v>
      </c>
      <c r="G847" s="113" t="e">
        <f>SUM(J847:M847,R847:AA847)</f>
        <v>#N/A</v>
      </c>
      <c r="H847" s="19" t="e">
        <f>IF(ISBLANK(B847),0,+#REF!/B847)</f>
        <v>#REF!</v>
      </c>
      <c r="J847" s="134">
        <f t="shared" si="61"/>
        <v>211.78</v>
      </c>
      <c r="K847" s="113">
        <f t="shared" si="62"/>
        <v>-0.04</v>
      </c>
      <c r="L847" s="17">
        <f>IF(ISBLANK($C847),0,IF($C847&lt;$C$797,ROUND($C$797*$L$796,2),IF($C847&gt;L$797,ROUND(L$797*L$796,2),ROUND($C847*L$796,2))))</f>
        <v>44300</v>
      </c>
      <c r="M847" s="17">
        <f>IF($C847&gt;L$797,ROUND(($C847-L$797)*M$796,2),0)</f>
        <v>0</v>
      </c>
      <c r="N847" s="17">
        <f>K847</f>
        <v>-0.04</v>
      </c>
      <c r="O847" s="113"/>
      <c r="P847" s="113"/>
      <c r="Q847" s="17">
        <f>SUM(L847:M847)</f>
        <v>44300</v>
      </c>
      <c r="R847" s="135" t="e">
        <f>ROUND(SUM(K847:M847)*(R846-1),2)</f>
        <v>#N/A</v>
      </c>
      <c r="S847" s="113">
        <f>ROUND($B847*S$796*S846,2)</f>
        <v>0</v>
      </c>
      <c r="T847" s="113">
        <f>ROUND($B847*T$796,2)</f>
        <v>0</v>
      </c>
      <c r="U847" s="113">
        <f>ROUND($B847*U$796,2)</f>
        <v>0</v>
      </c>
      <c r="V847" s="33">
        <f>ROUND($B847*$V$792,2)</f>
        <v>0</v>
      </c>
      <c r="W847" s="113">
        <f>ROUND($B847*W$796,2)</f>
        <v>0</v>
      </c>
      <c r="X847" s="113">
        <f>ROUND($B847*X$796,2)</f>
        <v>0</v>
      </c>
      <c r="Y847" s="113">
        <f>ROUND($B847*Y$796,2)</f>
        <v>0</v>
      </c>
      <c r="Z847" s="113">
        <f>ROUND($B847*Z$796,2)</f>
        <v>0</v>
      </c>
      <c r="AA847" s="113">
        <f>ROUND($B847*AA$796,2)</f>
        <v>0</v>
      </c>
      <c r="AB847" s="19">
        <f>SUM(U$796:AA$796)+(-V$796+V833)</f>
        <v>2.3760000000000005E-3</v>
      </c>
      <c r="AC847" s="130" t="str">
        <f t="shared" si="63"/>
        <v>HL20</v>
      </c>
    </row>
    <row r="848" spans="1:29" ht="13" x14ac:dyDescent="0.3">
      <c r="A848" s="9"/>
      <c r="B848" s="111">
        <v>-1</v>
      </c>
      <c r="D848" s="33"/>
      <c r="E848" s="127"/>
      <c r="F848" s="37"/>
      <c r="G848" s="113"/>
      <c r="H848" s="19" t="e">
        <f>IF(ISBLANK(B848),0,+#REF!/B848)</f>
        <v>#REF!</v>
      </c>
      <c r="J848" s="134">
        <f t="shared" si="61"/>
        <v>211.78</v>
      </c>
      <c r="K848" s="113">
        <f t="shared" si="62"/>
        <v>-0.04</v>
      </c>
      <c r="L848" s="113">
        <f>IF(ISBLANK($E848),0,IF($E848&lt;$C$797,ROUND($C$797*$L$796,2),IF($E848&gt;L$797,ROUND(L$797*L$796,2),ROUND($E848*L$796,2))))</f>
        <v>0</v>
      </c>
      <c r="M848" s="113">
        <f>IF($E848&gt;L$797,ROUND(($E848-L$797)*M$796,2),0)</f>
        <v>0</v>
      </c>
      <c r="N848" s="113"/>
      <c r="O848" s="113"/>
      <c r="P848" s="113"/>
      <c r="Q848" s="113"/>
      <c r="R848" s="16" t="e">
        <f>VLOOKUP((D849),'Pwr Factor'!$A$1:$B$52,2)</f>
        <v>#N/A</v>
      </c>
      <c r="S848" s="51">
        <v>0</v>
      </c>
      <c r="T848" s="113"/>
      <c r="U848" s="113"/>
      <c r="V848" s="33"/>
      <c r="W848" s="113"/>
      <c r="X848" s="113"/>
      <c r="Y848" s="113"/>
      <c r="Z848" s="113"/>
      <c r="AA848" s="113"/>
      <c r="AB848" s="19"/>
      <c r="AC848" s="130">
        <f t="shared" si="63"/>
        <v>0</v>
      </c>
    </row>
    <row r="849" spans="1:29" ht="13" x14ac:dyDescent="0.3">
      <c r="A849" s="57" t="s">
        <v>172</v>
      </c>
      <c r="B849" s="111">
        <f>IF(AND('AES Indiana Sep 23 Bill Calc.'!$D$17="HL2",'AES Indiana Sep 23 Bill Calc.'!$D$18="No",'AES Indiana Sep 23 Bill Calc.'!$D$20="Yes 2020"),'AES Indiana Sep 23 Bill Calc.'!$D$19,-1)</f>
        <v>-1</v>
      </c>
      <c r="C849" s="111">
        <f>MAX(E849,$C$701)</f>
        <v>2000</v>
      </c>
      <c r="D849" s="111" t="b">
        <f>IF(AND('AES Indiana Sep 23 Bill Calc.'!$D$17="HL2",'AES Indiana Sep 23 Bill Calc.'!$D$18="No",'AES Indiana Sep 23 Bill Calc.'!$D$20="Yes 2020"),'AES Indiana Sep 23 Bill Calc.'!$D$22)</f>
        <v>0</v>
      </c>
      <c r="E849" s="111" t="b">
        <f>IF(AND('AES Indiana Sep 23 Bill Calc.'!$D$17="HL2",'AES Indiana Sep 23 Bill Calc.'!$D$18="No",'AES Indiana Sep 23 Bill Calc.'!$D$20="Yes 2020"),'AES Indiana Sep 23 Bill Calc.'!$D$21)</f>
        <v>0</v>
      </c>
      <c r="F849" s="37" t="s">
        <v>154</v>
      </c>
      <c r="G849" s="113" t="e">
        <f>SUM(J849:M849,R849:AA849)</f>
        <v>#N/A</v>
      </c>
      <c r="H849" s="19" t="e">
        <f>IF(ISBLANK(B849),0,+#REF!/B849)</f>
        <v>#REF!</v>
      </c>
      <c r="J849" s="134">
        <f t="shared" si="61"/>
        <v>211.78</v>
      </c>
      <c r="K849" s="113">
        <f t="shared" si="62"/>
        <v>-0.04</v>
      </c>
      <c r="L849" s="17">
        <f>IF(ISBLANK($C849),0,IF($C849&lt;$C$797,ROUND($C$797*$L$796,2),IF($C849&gt;L$797,ROUND(L$797*L$796,2),ROUND($C849*L$796,2))))</f>
        <v>44300</v>
      </c>
      <c r="M849" s="17">
        <f>IF($C849&gt;L$797,ROUND(($C849-L$797)*M$796,2),0)</f>
        <v>0</v>
      </c>
      <c r="N849" s="17">
        <f>K849</f>
        <v>-0.04</v>
      </c>
      <c r="O849" s="113"/>
      <c r="P849" s="113"/>
      <c r="Q849" s="17">
        <f>SUM(L849:M849)</f>
        <v>44300</v>
      </c>
      <c r="R849" s="135" t="e">
        <f>ROUND(SUM(K849:M849)*(R848-1),2)</f>
        <v>#N/A</v>
      </c>
      <c r="S849" s="113">
        <f>ROUND($B849*S$796*S848,2)</f>
        <v>0</v>
      </c>
      <c r="T849" s="113">
        <f>ROUND($B849*T$796,2)</f>
        <v>0</v>
      </c>
      <c r="U849" s="113">
        <f>ROUND($B849*U$796,2)</f>
        <v>0</v>
      </c>
      <c r="V849" s="33">
        <f>ROUND($B849*$V$792,2)</f>
        <v>0</v>
      </c>
      <c r="W849" s="113">
        <f>ROUND($B849*W$796,2)</f>
        <v>0</v>
      </c>
      <c r="X849" s="113">
        <f>ROUND($B849*X$796,2)</f>
        <v>0</v>
      </c>
      <c r="Y849" s="113">
        <f>ROUND($B849*Y$796,2)</f>
        <v>0</v>
      </c>
      <c r="Z849" s="113">
        <f>ROUND($B849*Z$796,2)</f>
        <v>0</v>
      </c>
      <c r="AA849" s="113">
        <f>ROUND($B849*AA$796,2)</f>
        <v>0</v>
      </c>
      <c r="AB849" s="19">
        <f>SUM(U$796:AA$796)+(-V$796+V835)</f>
        <v>2.3760000000000005E-3</v>
      </c>
      <c r="AC849" s="130" t="str">
        <f t="shared" si="63"/>
        <v>HL20</v>
      </c>
    </row>
    <row r="850" spans="1:29" ht="13" x14ac:dyDescent="0.3">
      <c r="B850" s="111">
        <v>-1</v>
      </c>
      <c r="D850" s="33"/>
      <c r="E850" s="127"/>
      <c r="F850" s="37"/>
      <c r="G850" s="113"/>
      <c r="H850" s="19" t="e">
        <f>IF(ISBLANK(B850),0,+#REF!/B850)</f>
        <v>#REF!</v>
      </c>
      <c r="J850" s="134">
        <f t="shared" si="61"/>
        <v>211.78</v>
      </c>
      <c r="K850" s="113">
        <f t="shared" si="62"/>
        <v>-0.04</v>
      </c>
      <c r="L850" s="113">
        <f>IF(ISBLANK($E850),0,IF($E850&lt;$C$797,ROUND($C$797*$L$796,2),IF($E850&gt;L$797,ROUND(L$797*L$796,2),ROUND($E850*L$796,2))))</f>
        <v>0</v>
      </c>
      <c r="M850" s="113">
        <f>IF($E850&gt;L$797,ROUND(($E850-L$797)*M$796,2),0)</f>
        <v>0</v>
      </c>
      <c r="N850" s="113"/>
      <c r="O850" s="113"/>
      <c r="P850" s="113"/>
      <c r="Q850" s="113"/>
      <c r="R850" s="16" t="e">
        <f>VLOOKUP((D851),'Pwr Factor'!$A$1:$B$52,2)</f>
        <v>#N/A</v>
      </c>
      <c r="S850" s="51">
        <v>1</v>
      </c>
      <c r="T850" s="113"/>
      <c r="U850" s="113"/>
      <c r="V850" s="33"/>
      <c r="W850" s="113"/>
      <c r="X850" s="113"/>
      <c r="Y850" s="113"/>
      <c r="Z850" s="113"/>
      <c r="AA850" s="113"/>
      <c r="AB850" s="19"/>
      <c r="AC850" s="130">
        <f t="shared" si="63"/>
        <v>0</v>
      </c>
    </row>
    <row r="851" spans="1:29" ht="13" x14ac:dyDescent="0.3">
      <c r="A851" s="1" t="s">
        <v>73</v>
      </c>
      <c r="B851" s="111">
        <f>IF(AND('AES Indiana Sep 23 Bill Calc.'!$D$17="HL2",'AES Indiana Sep 23 Bill Calc.'!$D$18="Yes 100%",'AES Indiana Sep 23 Bill Calc.'!$D$20="Yes 2021"),'AES Indiana Sep 23 Bill Calc.'!$D$19,-1)</f>
        <v>-1</v>
      </c>
      <c r="C851" s="111">
        <f>MAX(E851,$C$701)</f>
        <v>2000</v>
      </c>
      <c r="D851" s="111" t="b">
        <f>IF(AND('AES Indiana Sep 23 Bill Calc.'!$D$17="HL2",'AES Indiana Sep 23 Bill Calc.'!$D$18="Yes 100%",'AES Indiana Sep 23 Bill Calc.'!$D$20="Yes 2021"),'AES Indiana Sep 23 Bill Calc.'!$D$22)</f>
        <v>0</v>
      </c>
      <c r="E851" s="111" t="b">
        <f>IF(AND('AES Indiana Sep 23 Bill Calc.'!$D$17="HL2",'AES Indiana Sep 23 Bill Calc.'!$D$18="Yes 100%",'AES Indiana Sep 23 Bill Calc.'!$D$20="Yes 2021"),'AES Indiana Sep 23 Bill Calc.'!$D$21)</f>
        <v>0</v>
      </c>
      <c r="F851" s="37" t="s">
        <v>192</v>
      </c>
      <c r="G851" s="113" t="e">
        <f>SUM(J851:M851,R851:AA851)</f>
        <v>#N/A</v>
      </c>
      <c r="H851" s="19" t="e">
        <f>IF(ISBLANK(B851),0,+#REF!/B851)</f>
        <v>#REF!</v>
      </c>
      <c r="J851" s="134">
        <f t="shared" si="61"/>
        <v>211.78</v>
      </c>
      <c r="K851" s="113">
        <f t="shared" si="62"/>
        <v>-0.04</v>
      </c>
      <c r="L851" s="17">
        <f>IF(ISBLANK($C851),0,IF($C851&lt;$C$797,ROUND($C$797*$L$796,2),IF($C851&gt;L$797,ROUND(L$797*L$796,2),ROUND($C851*L$796,2))))</f>
        <v>44300</v>
      </c>
      <c r="M851" s="17">
        <f>IF($C851&gt;L$797,ROUND(($C851-L$797)*M$796,2),0)</f>
        <v>0</v>
      </c>
      <c r="N851" s="17">
        <f>K851</f>
        <v>-0.04</v>
      </c>
      <c r="O851" s="113"/>
      <c r="P851" s="113"/>
      <c r="Q851" s="17">
        <f>SUM(L851:M851)</f>
        <v>44300</v>
      </c>
      <c r="R851" s="135" t="e">
        <f>ROUND(SUM(K851:M851)*(R850-1),2)</f>
        <v>#N/A</v>
      </c>
      <c r="S851" s="113">
        <f>ROUND($B851*S$796*S850,2)</f>
        <v>0</v>
      </c>
      <c r="T851" s="113">
        <f>ROUND($B851*T$796,2)</f>
        <v>0</v>
      </c>
      <c r="U851" s="113">
        <f>ROUND($B851*U$796,2)</f>
        <v>0</v>
      </c>
      <c r="V851" s="33">
        <f>ROUND($B851*$V$793,2)</f>
        <v>0</v>
      </c>
      <c r="W851" s="113">
        <f>ROUND($B851*W$796,2)</f>
        <v>0</v>
      </c>
      <c r="X851" s="113">
        <f>ROUND($B851*X$796,2)</f>
        <v>0</v>
      </c>
      <c r="Y851" s="113">
        <f>ROUND($B851*Y$796,2)</f>
        <v>0</v>
      </c>
      <c r="Z851" s="113">
        <f>ROUND($B851*Z$796,2)</f>
        <v>0</v>
      </c>
      <c r="AA851" s="113">
        <f>ROUND($B851*AA$796,2)</f>
        <v>0</v>
      </c>
      <c r="AB851" s="19">
        <f>SUM(U$796:AA$796)+(-V$796+V837)</f>
        <v>2.3760000000000005E-3</v>
      </c>
      <c r="AC851" s="130" t="str">
        <f t="shared" si="63"/>
        <v>HL21</v>
      </c>
    </row>
    <row r="852" spans="1:29" ht="13" x14ac:dyDescent="0.3">
      <c r="A852" s="9"/>
      <c r="B852" s="111">
        <v>-1</v>
      </c>
      <c r="D852" s="33"/>
      <c r="E852" s="127"/>
      <c r="F852" s="37"/>
      <c r="G852" s="113"/>
      <c r="H852" s="19" t="e">
        <f>IF(ISBLANK(B852),0,+#REF!/B852)</f>
        <v>#REF!</v>
      </c>
      <c r="J852" s="134">
        <f t="shared" si="61"/>
        <v>211.78</v>
      </c>
      <c r="K852" s="113">
        <f t="shared" si="62"/>
        <v>-0.04</v>
      </c>
      <c r="L852" s="113">
        <f>IF(ISBLANK($E852),0,IF($E852&lt;$C$797,ROUND($C$797*$L$796,2),IF($E852&gt;L$797,ROUND(L$797*L$796,2),ROUND($E852*L$796,2))))</f>
        <v>0</v>
      </c>
      <c r="M852" s="113">
        <f>IF($E852&gt;L$797,ROUND(($E852-L$797)*M$796,2),0)</f>
        <v>0</v>
      </c>
      <c r="N852" s="113"/>
      <c r="O852" s="113"/>
      <c r="P852" s="113"/>
      <c r="Q852" s="113"/>
      <c r="R852" s="16" t="e">
        <f>VLOOKUP((D853),'Pwr Factor'!$A$1:$B$52,2)</f>
        <v>#N/A</v>
      </c>
      <c r="S852" s="51">
        <v>0.5</v>
      </c>
      <c r="T852" s="113"/>
      <c r="U852" s="113"/>
      <c r="V852" s="33"/>
      <c r="W852" s="113"/>
      <c r="X852" s="113"/>
      <c r="Y852" s="113"/>
      <c r="Z852" s="113"/>
      <c r="AA852" s="113"/>
      <c r="AB852" s="19"/>
      <c r="AC852" s="130">
        <f t="shared" si="63"/>
        <v>0</v>
      </c>
    </row>
    <row r="853" spans="1:29" ht="13" x14ac:dyDescent="0.3">
      <c r="A853" s="57" t="s">
        <v>171</v>
      </c>
      <c r="B853" s="111">
        <f>IF(AND('AES Indiana Sep 23 Bill Calc.'!$D$17="HL2",'AES Indiana Sep 23 Bill Calc.'!$D$18="Yes 50%",'AES Indiana Sep 23 Bill Calc.'!$D$20="Yes 2021"),'AES Indiana Sep 23 Bill Calc.'!$D$19,-1)</f>
        <v>-1</v>
      </c>
      <c r="C853" s="111">
        <f>MAX(E853,$C$701)</f>
        <v>2000</v>
      </c>
      <c r="D853" s="111" t="b">
        <f>IF(AND('AES Indiana Sep 23 Bill Calc.'!$D$17="HL2",'AES Indiana Sep 23 Bill Calc.'!$D$18="Yes 50%",'AES Indiana Sep 23 Bill Calc.'!$D$20="Yes 2021"),'AES Indiana Sep 23 Bill Calc.'!$D$22)</f>
        <v>0</v>
      </c>
      <c r="E853" s="111" t="b">
        <f>IF(AND('AES Indiana Sep 23 Bill Calc.'!$D$17="HL2",'AES Indiana Sep 23 Bill Calc.'!$D$18="Yes 50%",'AES Indiana Sep 23 Bill Calc.'!$D$20="Yes 2021"),'AES Indiana Sep 23 Bill Calc.'!$D$21)</f>
        <v>0</v>
      </c>
      <c r="F853" s="37" t="s">
        <v>192</v>
      </c>
      <c r="G853" s="113" t="e">
        <f>SUM(J853:M853,R853:AA853)</f>
        <v>#N/A</v>
      </c>
      <c r="H853" s="19" t="e">
        <f>IF(ISBLANK(B853),0,+#REF!/B853)</f>
        <v>#REF!</v>
      </c>
      <c r="J853" s="134">
        <f t="shared" si="61"/>
        <v>211.78</v>
      </c>
      <c r="K853" s="113">
        <f t="shared" si="62"/>
        <v>-0.04</v>
      </c>
      <c r="L853" s="17">
        <f>IF(ISBLANK($C853),0,IF($C853&lt;$C$797,ROUND($C$797*$L$796,2),IF($C853&gt;L$797,ROUND(L$797*L$796,2),ROUND($C853*L$796,2))))</f>
        <v>44300</v>
      </c>
      <c r="M853" s="17">
        <f>IF($C853&gt;L$797,ROUND(($C853-L$797)*M$796,2),0)</f>
        <v>0</v>
      </c>
      <c r="N853" s="17">
        <f>K853</f>
        <v>-0.04</v>
      </c>
      <c r="O853" s="113"/>
      <c r="P853" s="113"/>
      <c r="Q853" s="17">
        <f>SUM(L853:M853)</f>
        <v>44300</v>
      </c>
      <c r="R853" s="135" t="e">
        <f>ROUND(SUM(K853:M853)*(R852-1),2)</f>
        <v>#N/A</v>
      </c>
      <c r="S853" s="113">
        <f>ROUND($B853*S$796*S852,2)</f>
        <v>0</v>
      </c>
      <c r="T853" s="113">
        <f>ROUND($B853*T$796,2)</f>
        <v>0</v>
      </c>
      <c r="U853" s="113">
        <f>ROUND($B853*U$796,2)</f>
        <v>0</v>
      </c>
      <c r="V853" s="33">
        <f>ROUND($B853*$V$793,2)</f>
        <v>0</v>
      </c>
      <c r="W853" s="113">
        <f>ROUND($B853*W$796,2)</f>
        <v>0</v>
      </c>
      <c r="X853" s="113">
        <f>ROUND($B853*X$796,2)</f>
        <v>0</v>
      </c>
      <c r="Y853" s="113">
        <f>ROUND($B853*Y$796,2)</f>
        <v>0</v>
      </c>
      <c r="Z853" s="113">
        <f>ROUND($B853*Z$796,2)</f>
        <v>0</v>
      </c>
      <c r="AA853" s="113">
        <f>ROUND($B853*AA$796,2)</f>
        <v>0</v>
      </c>
      <c r="AB853" s="19">
        <f>SUM(U$796:AA$796)+(-V$796+V839)</f>
        <v>2.3760000000000005E-3</v>
      </c>
      <c r="AC853" s="130" t="str">
        <f t="shared" si="63"/>
        <v>HL21</v>
      </c>
    </row>
    <row r="854" spans="1:29" ht="13" x14ac:dyDescent="0.3">
      <c r="A854" s="9"/>
      <c r="B854" s="111">
        <v>-1</v>
      </c>
      <c r="D854" s="33"/>
      <c r="E854" s="127"/>
      <c r="F854" s="37"/>
      <c r="G854" s="113"/>
      <c r="H854" s="19" t="e">
        <f>IF(ISBLANK(B854),0,+#REF!/B854)</f>
        <v>#REF!</v>
      </c>
      <c r="J854" s="134">
        <f t="shared" si="61"/>
        <v>211.78</v>
      </c>
      <c r="K854" s="113">
        <f t="shared" si="62"/>
        <v>-0.04</v>
      </c>
      <c r="L854" s="113">
        <f>IF(ISBLANK($E854),0,IF($E854&lt;$C$797,ROUND($C$797*$L$796,2),IF($E854&gt;L$797,ROUND(L$797*L$796,2),ROUND($E854*L$796,2))))</f>
        <v>0</v>
      </c>
      <c r="M854" s="113">
        <f>IF($E854&gt;L$797,ROUND(($E854-L$797)*M$796,2),0)</f>
        <v>0</v>
      </c>
      <c r="N854" s="113"/>
      <c r="O854" s="113"/>
      <c r="P854" s="113"/>
      <c r="Q854" s="113"/>
      <c r="R854" s="16" t="e">
        <f>VLOOKUP((D855),'Pwr Factor'!$A$1:$B$52,2)</f>
        <v>#N/A</v>
      </c>
      <c r="S854" s="51">
        <v>0.25</v>
      </c>
      <c r="T854" s="113"/>
      <c r="U854" s="113"/>
      <c r="V854" s="33"/>
      <c r="W854" s="113"/>
      <c r="X854" s="113"/>
      <c r="Y854" s="113"/>
      <c r="Z854" s="113"/>
      <c r="AA854" s="113"/>
      <c r="AB854" s="19"/>
      <c r="AC854" s="130">
        <f t="shared" si="63"/>
        <v>0</v>
      </c>
    </row>
    <row r="855" spans="1:29" ht="13" x14ac:dyDescent="0.3">
      <c r="A855" s="57" t="s">
        <v>158</v>
      </c>
      <c r="B855" s="111">
        <f>IF(AND('AES Indiana Sep 23 Bill Calc.'!$D$17="HL2",'AES Indiana Sep 23 Bill Calc.'!$D$18="Yes 25%",'AES Indiana Sep 23 Bill Calc.'!$D$20="Yes 2021"),'AES Indiana Sep 23 Bill Calc.'!$D$19,-1)</f>
        <v>-1</v>
      </c>
      <c r="C855" s="111">
        <f>MAX(E855,$C$701)</f>
        <v>2000</v>
      </c>
      <c r="D855" s="111" t="b">
        <f>IF(AND('AES Indiana Sep 23 Bill Calc.'!$D$17="HL2",'AES Indiana Sep 23 Bill Calc.'!$D$18="Yes 25%",'AES Indiana Sep 23 Bill Calc.'!$D$20="Yes 2021"),'AES Indiana Sep 23 Bill Calc.'!$D$22)</f>
        <v>0</v>
      </c>
      <c r="E855" s="111" t="b">
        <f>IF(AND('AES Indiana Sep 23 Bill Calc.'!$D$17="HL2",'AES Indiana Sep 23 Bill Calc.'!$D$18="Yes 25%",'AES Indiana Sep 23 Bill Calc.'!$D$20="Yes 2021"),'AES Indiana Sep 23 Bill Calc.'!$D$21)</f>
        <v>0</v>
      </c>
      <c r="F855" s="37" t="s">
        <v>192</v>
      </c>
      <c r="G855" s="113" t="e">
        <f>SUM(J855:M855,R855:AA855)</f>
        <v>#N/A</v>
      </c>
      <c r="H855" s="19" t="e">
        <f>IF(ISBLANK(B855),0,+#REF!/B855)</f>
        <v>#REF!</v>
      </c>
      <c r="J855" s="134">
        <f t="shared" si="61"/>
        <v>211.78</v>
      </c>
      <c r="K855" s="113">
        <f t="shared" si="62"/>
        <v>-0.04</v>
      </c>
      <c r="L855" s="17">
        <f>IF(ISBLANK($C855),0,IF($C855&lt;$C$797,ROUND($C$797*$L$796,2),IF($C855&gt;L$797,ROUND(L$797*L$796,2),ROUND($C855*L$796,2))))</f>
        <v>44300</v>
      </c>
      <c r="M855" s="17">
        <f>IF($C855&gt;L$797,ROUND(($C855-L$797)*M$796,2),0)</f>
        <v>0</v>
      </c>
      <c r="N855" s="17">
        <f>K855</f>
        <v>-0.04</v>
      </c>
      <c r="O855" s="113"/>
      <c r="P855" s="113"/>
      <c r="Q855" s="17">
        <f>SUM(L855:M855)</f>
        <v>44300</v>
      </c>
      <c r="R855" s="135" t="e">
        <f>ROUND(SUM(K855:M855)*(R854-1),2)</f>
        <v>#N/A</v>
      </c>
      <c r="S855" s="113">
        <f>ROUND($B855*S$796*S854,2)</f>
        <v>0</v>
      </c>
      <c r="T855" s="113">
        <f>ROUND($B855*T$796,2)</f>
        <v>0</v>
      </c>
      <c r="U855" s="113">
        <f>ROUND($B855*U$796,2)</f>
        <v>0</v>
      </c>
      <c r="V855" s="33">
        <f>ROUND($B855*$V$793,2)</f>
        <v>0</v>
      </c>
      <c r="W855" s="113">
        <f>ROUND($B855*W$796,2)</f>
        <v>0</v>
      </c>
      <c r="X855" s="113">
        <f>ROUND($B855*X$796,2)</f>
        <v>0</v>
      </c>
      <c r="Y855" s="113">
        <f>ROUND($B855*Y$796,2)</f>
        <v>0</v>
      </c>
      <c r="Z855" s="113">
        <f>ROUND($B855*Z$796,2)</f>
        <v>0</v>
      </c>
      <c r="AA855" s="113">
        <f>ROUND($B855*AA$796,2)</f>
        <v>0</v>
      </c>
      <c r="AB855" s="19">
        <f>SUM(U$796:AA$796)+(-V$796+V841)</f>
        <v>2.3760000000000005E-3</v>
      </c>
      <c r="AC855" s="130" t="str">
        <f t="shared" si="63"/>
        <v>HL21</v>
      </c>
    </row>
    <row r="856" spans="1:29" ht="13" x14ac:dyDescent="0.3">
      <c r="A856" s="9"/>
      <c r="B856" s="111">
        <v>-1</v>
      </c>
      <c r="D856" s="33"/>
      <c r="E856" s="127"/>
      <c r="F856" s="37"/>
      <c r="G856" s="113"/>
      <c r="H856" s="19" t="e">
        <f>IF(ISBLANK(B856),0,+#REF!/B856)</f>
        <v>#REF!</v>
      </c>
      <c r="J856" s="134">
        <f t="shared" si="61"/>
        <v>211.78</v>
      </c>
      <c r="K856" s="113">
        <f t="shared" si="62"/>
        <v>-0.04</v>
      </c>
      <c r="L856" s="113">
        <f>IF(ISBLANK($E856),0,IF($E856&lt;$C$797,ROUND($C$797*$L$796,2),IF($E856&gt;L$797,ROUND(L$797*L$796,2),ROUND($E856*L$796,2))))</f>
        <v>0</v>
      </c>
      <c r="M856" s="113">
        <f>IF($E856&gt;L$797,ROUND(($E856-L$797)*M$796,2),0)</f>
        <v>0</v>
      </c>
      <c r="N856" s="113"/>
      <c r="O856" s="113"/>
      <c r="P856" s="113"/>
      <c r="Q856" s="113"/>
      <c r="R856" s="16" t="e">
        <f>VLOOKUP((D857),'Pwr Factor'!$A$1:$B$52,2)</f>
        <v>#N/A</v>
      </c>
      <c r="S856" s="51">
        <v>0.1</v>
      </c>
      <c r="T856" s="113"/>
      <c r="U856" s="113"/>
      <c r="V856" s="33"/>
      <c r="W856" s="113"/>
      <c r="X856" s="113"/>
      <c r="Y856" s="113"/>
      <c r="Z856" s="113"/>
      <c r="AA856" s="113"/>
      <c r="AB856" s="19"/>
      <c r="AC856" s="130">
        <f t="shared" si="63"/>
        <v>0</v>
      </c>
    </row>
    <row r="857" spans="1:29" ht="13" x14ac:dyDescent="0.3">
      <c r="A857" s="57" t="s">
        <v>173</v>
      </c>
      <c r="B857" s="111">
        <f>IF(AND('AES Indiana Sep 23 Bill Calc.'!$D$17="HL2",'AES Indiana Sep 23 Bill Calc.'!$D$18="Yes 10%",'AES Indiana Sep 23 Bill Calc.'!$D$20="Yes 2021"),'AES Indiana Sep 23 Bill Calc.'!$D$19,-1)</f>
        <v>-1</v>
      </c>
      <c r="C857" s="111">
        <f>MAX(E857,$C$701)</f>
        <v>2000</v>
      </c>
      <c r="D857" s="111" t="b">
        <f>IF(AND('AES Indiana Sep 23 Bill Calc.'!$D$17="HL2",'AES Indiana Sep 23 Bill Calc.'!$D$18="Yes 10%",'AES Indiana Sep 23 Bill Calc.'!$D$20="Yes 2021"),'AES Indiana Sep 23 Bill Calc.'!$D$22)</f>
        <v>0</v>
      </c>
      <c r="E857" s="111" t="b">
        <f>IF(AND('AES Indiana Sep 23 Bill Calc.'!$D$17="HL2",'AES Indiana Sep 23 Bill Calc.'!$D$18="Yes 10%",'AES Indiana Sep 23 Bill Calc.'!$D$20="Yes 2021"),'AES Indiana Sep 23 Bill Calc.'!$D$21)</f>
        <v>0</v>
      </c>
      <c r="F857" s="37" t="s">
        <v>192</v>
      </c>
      <c r="G857" s="113" t="e">
        <f>SUM(J857:M857,R857:AA857)</f>
        <v>#N/A</v>
      </c>
      <c r="H857" s="19" t="e">
        <f>IF(ISBLANK(B857),0,+#REF!/B857)</f>
        <v>#REF!</v>
      </c>
      <c r="J857" s="134">
        <f t="shared" si="61"/>
        <v>211.78</v>
      </c>
      <c r="K857" s="113">
        <f t="shared" si="62"/>
        <v>-0.04</v>
      </c>
      <c r="L857" s="17">
        <f>IF(ISBLANK($C857),0,IF($C857&lt;$C$797,ROUND($C$797*$L$796,2),IF($C857&gt;L$797,ROUND(L$797*L$796,2),ROUND($C857*L$796,2))))</f>
        <v>44300</v>
      </c>
      <c r="M857" s="17">
        <f>IF($C857&gt;L$797,ROUND(($C857-L$797)*M$796,2),0)</f>
        <v>0</v>
      </c>
      <c r="N857" s="17">
        <f>K857</f>
        <v>-0.04</v>
      </c>
      <c r="O857" s="113"/>
      <c r="P857" s="113"/>
      <c r="Q857" s="17">
        <f>SUM(L857:M857)</f>
        <v>44300</v>
      </c>
      <c r="R857" s="135" t="e">
        <f>ROUND(SUM(K857:M857)*(R856-1),2)</f>
        <v>#N/A</v>
      </c>
      <c r="S857" s="113">
        <f>ROUND($B857*S$796*S856,2)</f>
        <v>0</v>
      </c>
      <c r="T857" s="113">
        <f>ROUND($B857*T$796,2)</f>
        <v>0</v>
      </c>
      <c r="U857" s="113">
        <f>ROUND($B857*U$796,2)</f>
        <v>0</v>
      </c>
      <c r="V857" s="33">
        <f>ROUND($B857*$V$793,2)</f>
        <v>0</v>
      </c>
      <c r="W857" s="113">
        <f>ROUND($B857*W$796,2)</f>
        <v>0</v>
      </c>
      <c r="X857" s="113">
        <f>ROUND($B857*X$796,2)</f>
        <v>0</v>
      </c>
      <c r="Y857" s="113">
        <f>ROUND($B857*Y$796,2)</f>
        <v>0</v>
      </c>
      <c r="Z857" s="113">
        <f>ROUND($B857*Z$796,2)</f>
        <v>0</v>
      </c>
      <c r="AA857" s="113">
        <f>ROUND($B857*AA$796,2)</f>
        <v>0</v>
      </c>
      <c r="AB857" s="19">
        <f>SUM(U$796:AA$796)+(-V$796+V843)</f>
        <v>2.3760000000000005E-3</v>
      </c>
      <c r="AC857" s="130" t="str">
        <f t="shared" si="63"/>
        <v>HL21</v>
      </c>
    </row>
    <row r="858" spans="1:29" ht="13" x14ac:dyDescent="0.3">
      <c r="A858" s="9"/>
      <c r="B858" s="111">
        <v>-1</v>
      </c>
      <c r="D858" s="33"/>
      <c r="E858" s="127"/>
      <c r="F858" s="37"/>
      <c r="G858" s="113"/>
      <c r="H858" s="19" t="e">
        <f>IF(ISBLANK(B858),0,+#REF!/B858)</f>
        <v>#REF!</v>
      </c>
      <c r="J858" s="134">
        <f t="shared" si="61"/>
        <v>211.78</v>
      </c>
      <c r="K858" s="113">
        <f t="shared" si="62"/>
        <v>-0.04</v>
      </c>
      <c r="L858" s="113">
        <f>IF(ISBLANK($E858),0,IF($E858&lt;$C$797,ROUND($C$797*$L$796,2),IF($E858&gt;L$797,ROUND(L$797*L$796,2),ROUND($E858*L$796,2))))</f>
        <v>0</v>
      </c>
      <c r="M858" s="113">
        <f>IF($E858&gt;L$797,ROUND(($E858-L$797)*M$796,2),0)</f>
        <v>0</v>
      </c>
      <c r="N858" s="113"/>
      <c r="O858" s="113"/>
      <c r="P858" s="113"/>
      <c r="Q858" s="113"/>
      <c r="R858" s="16" t="e">
        <f>VLOOKUP((D859),'Pwr Factor'!$A$1:$B$52,2)</f>
        <v>#N/A</v>
      </c>
      <c r="S858" s="51">
        <v>0</v>
      </c>
      <c r="T858" s="113"/>
      <c r="U858" s="113"/>
      <c r="V858" s="33"/>
      <c r="W858" s="113"/>
      <c r="X858" s="113"/>
      <c r="Y858" s="113"/>
      <c r="Z858" s="113"/>
      <c r="AA858" s="113"/>
      <c r="AB858" s="19"/>
      <c r="AC858" s="130">
        <f t="shared" si="63"/>
        <v>0</v>
      </c>
    </row>
    <row r="859" spans="1:29" ht="13" x14ac:dyDescent="0.3">
      <c r="A859" s="57" t="s">
        <v>172</v>
      </c>
      <c r="B859" s="111">
        <f>IF(AND('AES Indiana Sep 23 Bill Calc.'!$D$17="HL2",'AES Indiana Sep 23 Bill Calc.'!$D$18="No",'AES Indiana Sep 23 Bill Calc.'!$D$20="Yes 2021"),'AES Indiana Sep 23 Bill Calc.'!$D$19,-1)</f>
        <v>-1</v>
      </c>
      <c r="C859" s="111">
        <f>MAX(E859,$C$701)</f>
        <v>2000</v>
      </c>
      <c r="D859" s="111" t="b">
        <f>IF(AND('AES Indiana Sep 23 Bill Calc.'!$D$17="HL2",'AES Indiana Sep 23 Bill Calc.'!$D$18="No",'AES Indiana Sep 23 Bill Calc.'!$D$20="Yes 2021"),'AES Indiana Sep 23 Bill Calc.'!$D$22)</f>
        <v>0</v>
      </c>
      <c r="E859" s="111" t="b">
        <f>IF(AND('AES Indiana Sep 23 Bill Calc.'!$D$17="HL2",'AES Indiana Sep 23 Bill Calc.'!$D$18="No",'AES Indiana Sep 23 Bill Calc.'!$D$20="Yes 2021"),'AES Indiana Sep 23 Bill Calc.'!$D$21)</f>
        <v>0</v>
      </c>
      <c r="F859" s="37" t="s">
        <v>192</v>
      </c>
      <c r="G859" s="113" t="e">
        <f>SUM(J859:M859,R859:AA859)</f>
        <v>#N/A</v>
      </c>
      <c r="H859" s="19" t="e">
        <f>IF(ISBLANK(B859),0,+#REF!/B859)</f>
        <v>#REF!</v>
      </c>
      <c r="J859" s="134">
        <f t="shared" si="61"/>
        <v>211.78</v>
      </c>
      <c r="K859" s="113">
        <f t="shared" si="62"/>
        <v>-0.04</v>
      </c>
      <c r="L859" s="17">
        <f>IF(ISBLANK($C859),0,IF($C859&lt;$C$797,ROUND($C$797*$L$796,2),IF($C859&gt;L$797,ROUND(L$797*L$796,2),ROUND($C859*L$796,2))))</f>
        <v>44300</v>
      </c>
      <c r="M859" s="17">
        <f>IF($C859&gt;L$797,ROUND(($C859-L$797)*M$796,2),0)</f>
        <v>0</v>
      </c>
      <c r="N859" s="17">
        <f>K859</f>
        <v>-0.04</v>
      </c>
      <c r="O859" s="113"/>
      <c r="P859" s="113"/>
      <c r="Q859" s="17">
        <f>SUM(L859:M859)</f>
        <v>44300</v>
      </c>
      <c r="R859" s="135" t="e">
        <f>ROUND(SUM(K859:M859)*(R858-1),2)</f>
        <v>#N/A</v>
      </c>
      <c r="S859" s="113">
        <f>ROUND($B859*S$796*S858,2)</f>
        <v>0</v>
      </c>
      <c r="T859" s="113">
        <f>ROUND($B859*T$796,2)</f>
        <v>0</v>
      </c>
      <c r="U859" s="113">
        <f>ROUND($B859*U$796,2)</f>
        <v>0</v>
      </c>
      <c r="V859" s="33">
        <f>ROUND($B859*$V$793,2)</f>
        <v>0</v>
      </c>
      <c r="W859" s="113">
        <f>ROUND($B859*W$796,2)</f>
        <v>0</v>
      </c>
      <c r="X859" s="113">
        <f>ROUND($B859*X$796,2)</f>
        <v>0</v>
      </c>
      <c r="Y859" s="113">
        <f>ROUND($B859*Y$796,2)</f>
        <v>0</v>
      </c>
      <c r="Z859" s="113">
        <f>ROUND($B859*Z$796,2)</f>
        <v>0</v>
      </c>
      <c r="AA859" s="113">
        <f>ROUND($B859*AA$796,2)</f>
        <v>0</v>
      </c>
      <c r="AB859" s="19">
        <f>SUM(U$796:AA$796)+(-V$796+V845)</f>
        <v>2.3760000000000005E-3</v>
      </c>
      <c r="AC859" s="130" t="str">
        <f t="shared" si="63"/>
        <v>HL21</v>
      </c>
    </row>
    <row r="860" spans="1:29" ht="13" x14ac:dyDescent="0.3">
      <c r="B860" s="111">
        <v>-1</v>
      </c>
      <c r="D860" s="33"/>
      <c r="E860" s="127"/>
      <c r="F860" s="37"/>
      <c r="G860" s="113"/>
      <c r="H860" s="19" t="e">
        <f>IF(ISBLANK(B860),0,+#REF!/B860)</f>
        <v>#REF!</v>
      </c>
      <c r="J860" s="134">
        <f t="shared" si="61"/>
        <v>211.78</v>
      </c>
      <c r="K860" s="113">
        <f t="shared" si="62"/>
        <v>-0.04</v>
      </c>
      <c r="L860" s="113">
        <f>IF(ISBLANK($E860),0,IF($E860&lt;$C$797,ROUND($C$797*$L$796,2),IF($E860&gt;L$797,ROUND(L$797*L$796,2),ROUND($E860*L$796,2))))</f>
        <v>0</v>
      </c>
      <c r="M860" s="113">
        <f>IF($E860&gt;L$797,ROUND(($E860-L$797)*M$796,2),0)</f>
        <v>0</v>
      </c>
      <c r="N860" s="113"/>
      <c r="O860" s="113"/>
      <c r="P860" s="113"/>
      <c r="Q860" s="113"/>
      <c r="R860" s="16" t="e">
        <f>VLOOKUP((D861),'Pwr Factor'!$A$1:$B$52,2)</f>
        <v>#N/A</v>
      </c>
      <c r="S860" s="51">
        <v>1</v>
      </c>
      <c r="T860" s="113"/>
      <c r="U860" s="113"/>
      <c r="V860" s="33"/>
      <c r="W860" s="113"/>
      <c r="X860" s="113"/>
      <c r="Y860" s="113"/>
      <c r="Z860" s="113"/>
      <c r="AA860" s="113"/>
      <c r="AB860" s="19"/>
      <c r="AC860" s="130">
        <f t="shared" si="63"/>
        <v>0</v>
      </c>
    </row>
    <row r="861" spans="1:29" ht="13" x14ac:dyDescent="0.3">
      <c r="A861" s="1" t="s">
        <v>73</v>
      </c>
      <c r="B861" s="111">
        <f>IF(AND('AES Indiana Sep 23 Bill Calc.'!$D$17="HL2",'AES Indiana Sep 23 Bill Calc.'!$D$18="Yes 100%",'AES Indiana Sep 23 Bill Calc.'!$D$20="Yes 2022"),'AES Indiana Sep 23 Bill Calc.'!$D$19,-1)</f>
        <v>-1</v>
      </c>
      <c r="C861" s="111">
        <f>MAX(E861,$C$701)</f>
        <v>2000</v>
      </c>
      <c r="D861" s="111" t="b">
        <f>IF(AND('AES Indiana Sep 23 Bill Calc.'!$D$17="HL2",'AES Indiana Sep 23 Bill Calc.'!$D$18="Yes 100%",'AES Indiana Sep 23 Bill Calc.'!$D$20="Yes 2022"),'AES Indiana Sep 23 Bill Calc.'!$D$22)</f>
        <v>0</v>
      </c>
      <c r="E861" s="111" t="b">
        <f>IF(AND('AES Indiana Sep 23 Bill Calc.'!$D$17="HL2",'AES Indiana Sep 23 Bill Calc.'!$D$18="Yes 100%",'AES Indiana Sep 23 Bill Calc.'!$D$20="Yes 2022"),'AES Indiana Sep 23 Bill Calc.'!$D$21)</f>
        <v>0</v>
      </c>
      <c r="F861" s="37" t="s">
        <v>193</v>
      </c>
      <c r="G861" s="113" t="e">
        <f>SUM(J861:M861,R861:AA861)</f>
        <v>#N/A</v>
      </c>
      <c r="H861" s="19" t="e">
        <f>IF(ISBLANK(B861),0,+#REF!/B861)</f>
        <v>#REF!</v>
      </c>
      <c r="J861" s="134">
        <f t="shared" si="61"/>
        <v>211.78</v>
      </c>
      <c r="K861" s="113">
        <f t="shared" si="62"/>
        <v>-0.04</v>
      </c>
      <c r="L861" s="17">
        <f>IF(ISBLANK($C861),0,IF($C861&lt;$C$797,ROUND($C$797*$L$796,2),IF($C861&gt;L$797,ROUND(L$797*L$796,2),ROUND($C861*L$796,2))))</f>
        <v>44300</v>
      </c>
      <c r="M861" s="17">
        <f>IF($C861&gt;L$797,ROUND(($C861-L$797)*M$796,2),0)</f>
        <v>0</v>
      </c>
      <c r="N861" s="17">
        <f>K861</f>
        <v>-0.04</v>
      </c>
      <c r="O861" s="113"/>
      <c r="P861" s="113"/>
      <c r="Q861" s="17">
        <f>SUM(L861:M861)</f>
        <v>44300</v>
      </c>
      <c r="R861" s="135" t="e">
        <f>ROUND(SUM(K861:M861)*(R860-1),2)</f>
        <v>#N/A</v>
      </c>
      <c r="S861" s="113">
        <f>ROUND($B861*S$796*S860,2)</f>
        <v>0</v>
      </c>
      <c r="T861" s="113">
        <f>ROUND($B861*T$796,2)</f>
        <v>0</v>
      </c>
      <c r="U861" s="113">
        <f>ROUND($B861*U$796,2)</f>
        <v>0</v>
      </c>
      <c r="V861" s="33">
        <f>ROUND($B861*$V$794,2)</f>
        <v>0</v>
      </c>
      <c r="W861" s="113">
        <f>ROUND($B861*W$796,2)</f>
        <v>0</v>
      </c>
      <c r="X861" s="113">
        <f>ROUND($B861*X$796,2)</f>
        <v>0</v>
      </c>
      <c r="Y861" s="113">
        <f>ROUND($B861*Y$796,2)</f>
        <v>0</v>
      </c>
      <c r="Z861" s="113">
        <f>ROUND($B861*Z$796,2)</f>
        <v>0</v>
      </c>
      <c r="AA861" s="113">
        <f>ROUND($B861*AA$796,2)</f>
        <v>0</v>
      </c>
      <c r="AB861" s="19">
        <f>SUM(U$796:AA$796)+(-V$796+V847)</f>
        <v>2.3760000000000005E-3</v>
      </c>
      <c r="AC861" s="130" t="str">
        <f t="shared" si="63"/>
        <v>HL22</v>
      </c>
    </row>
    <row r="862" spans="1:29" ht="13" x14ac:dyDescent="0.3">
      <c r="A862" s="9"/>
      <c r="B862" s="111">
        <v>-1</v>
      </c>
      <c r="D862" s="33"/>
      <c r="E862" s="127"/>
      <c r="F862" s="37"/>
      <c r="G862" s="113"/>
      <c r="H862" s="19" t="e">
        <f>IF(ISBLANK(B862),0,+#REF!/B862)</f>
        <v>#REF!</v>
      </c>
      <c r="J862" s="134">
        <f t="shared" si="61"/>
        <v>211.78</v>
      </c>
      <c r="K862" s="113">
        <f t="shared" si="62"/>
        <v>-0.04</v>
      </c>
      <c r="L862" s="113">
        <f>IF(ISBLANK($E862),0,IF($E862&lt;$C$797,ROUND($C$797*$L$796,2),IF($E862&gt;L$797,ROUND(L$797*L$796,2),ROUND($E862*L$796,2))))</f>
        <v>0</v>
      </c>
      <c r="M862" s="113">
        <f>IF($E862&gt;L$797,ROUND(($E862-L$797)*M$796,2),0)</f>
        <v>0</v>
      </c>
      <c r="N862" s="113"/>
      <c r="O862" s="113"/>
      <c r="P862" s="113"/>
      <c r="Q862" s="113"/>
      <c r="R862" s="16" t="e">
        <f>VLOOKUP((D863),'Pwr Factor'!$A$1:$B$52,2)</f>
        <v>#N/A</v>
      </c>
      <c r="S862" s="51">
        <v>0.5</v>
      </c>
      <c r="T862" s="113"/>
      <c r="U862" s="113"/>
      <c r="V862" s="33"/>
      <c r="W862" s="113"/>
      <c r="X862" s="113"/>
      <c r="Y862" s="113"/>
      <c r="Z862" s="113"/>
      <c r="AA862" s="113"/>
      <c r="AB862" s="19"/>
      <c r="AC862" s="130">
        <f t="shared" si="63"/>
        <v>0</v>
      </c>
    </row>
    <row r="863" spans="1:29" ht="13" x14ac:dyDescent="0.3">
      <c r="A863" s="57" t="s">
        <v>171</v>
      </c>
      <c r="B863" s="111">
        <f>IF(AND('AES Indiana Sep 23 Bill Calc.'!$D$17="HL2",'AES Indiana Sep 23 Bill Calc.'!$D$18="Yes 50%",'AES Indiana Sep 23 Bill Calc.'!$D$20="Yes 2022"),'AES Indiana Sep 23 Bill Calc.'!$D$19,-1)</f>
        <v>-1</v>
      </c>
      <c r="C863" s="111">
        <f>MAX(E863,$C$701)</f>
        <v>2000</v>
      </c>
      <c r="D863" s="111" t="b">
        <f>IF(AND('AES Indiana Sep 23 Bill Calc.'!$D$17="HL2",'AES Indiana Sep 23 Bill Calc.'!$D$18="Yes 50%",'AES Indiana Sep 23 Bill Calc.'!$D$20="Yes 2022"),'AES Indiana Sep 23 Bill Calc.'!$D$22)</f>
        <v>0</v>
      </c>
      <c r="E863" s="111" t="b">
        <f>IF(AND('AES Indiana Sep 23 Bill Calc.'!$D$17="HL2",'AES Indiana Sep 23 Bill Calc.'!$D$18="Yes 50%",'AES Indiana Sep 23 Bill Calc.'!$D$20="Yes 2022"),'AES Indiana Sep 23 Bill Calc.'!$D$21)</f>
        <v>0</v>
      </c>
      <c r="F863" s="37" t="s">
        <v>193</v>
      </c>
      <c r="G863" s="113" t="e">
        <f>SUM(J863:M863,R863:AA863)</f>
        <v>#N/A</v>
      </c>
      <c r="H863" s="19" t="e">
        <f>IF(ISBLANK(B863),0,+#REF!/B863)</f>
        <v>#REF!</v>
      </c>
      <c r="J863" s="134">
        <f t="shared" si="61"/>
        <v>211.78</v>
      </c>
      <c r="K863" s="113">
        <f t="shared" si="62"/>
        <v>-0.04</v>
      </c>
      <c r="L863" s="17">
        <f>IF(ISBLANK($C863),0,IF($C863&lt;$C$797,ROUND($C$797*$L$796,2),IF($C863&gt;L$797,ROUND(L$797*L$796,2),ROUND($C863*L$796,2))))</f>
        <v>44300</v>
      </c>
      <c r="M863" s="17">
        <f>IF($C863&gt;L$797,ROUND(($C863-L$797)*M$796,2),0)</f>
        <v>0</v>
      </c>
      <c r="N863" s="17">
        <f>K863</f>
        <v>-0.04</v>
      </c>
      <c r="O863" s="113"/>
      <c r="P863" s="113"/>
      <c r="Q863" s="17">
        <f>SUM(L863:M863)</f>
        <v>44300</v>
      </c>
      <c r="R863" s="135" t="e">
        <f>ROUND(SUM(K863:M863)*(R862-1),2)</f>
        <v>#N/A</v>
      </c>
      <c r="S863" s="113">
        <f>ROUND($B863*S$796*S862,2)</f>
        <v>0</v>
      </c>
      <c r="T863" s="113">
        <f>ROUND($B863*T$796,2)</f>
        <v>0</v>
      </c>
      <c r="U863" s="113">
        <f>ROUND($B863*U$796,2)</f>
        <v>0</v>
      </c>
      <c r="V863" s="33">
        <f>ROUND($B863*$V$794,2)</f>
        <v>0</v>
      </c>
      <c r="W863" s="113">
        <f>ROUND($B863*W$796,2)</f>
        <v>0</v>
      </c>
      <c r="X863" s="113">
        <f>ROUND($B863*X$796,2)</f>
        <v>0</v>
      </c>
      <c r="Y863" s="113">
        <f>ROUND($B863*Y$796,2)</f>
        <v>0</v>
      </c>
      <c r="Z863" s="113">
        <f>ROUND($B863*Z$796,2)</f>
        <v>0</v>
      </c>
      <c r="AA863" s="113">
        <f>ROUND($B863*AA$796,2)</f>
        <v>0</v>
      </c>
      <c r="AB863" s="19">
        <f>SUM(U$796:AA$796)+(-V$796+V849)</f>
        <v>2.3760000000000005E-3</v>
      </c>
      <c r="AC863" s="130" t="str">
        <f t="shared" si="63"/>
        <v>HL22</v>
      </c>
    </row>
    <row r="864" spans="1:29" ht="13" x14ac:dyDescent="0.3">
      <c r="A864" s="9"/>
      <c r="B864" s="111">
        <v>-1</v>
      </c>
      <c r="D864" s="33"/>
      <c r="E864" s="127"/>
      <c r="F864" s="37"/>
      <c r="G864" s="113"/>
      <c r="H864" s="19" t="e">
        <f>IF(ISBLANK(B864),0,+#REF!/B864)</f>
        <v>#REF!</v>
      </c>
      <c r="J864" s="134">
        <f t="shared" si="61"/>
        <v>211.78</v>
      </c>
      <c r="K864" s="113">
        <f t="shared" si="62"/>
        <v>-0.04</v>
      </c>
      <c r="L864" s="113">
        <f>IF(ISBLANK($E864),0,IF($E864&lt;$C$797,ROUND($C$797*$L$796,2),IF($E864&gt;L$797,ROUND(L$797*L$796,2),ROUND($E864*L$796,2))))</f>
        <v>0</v>
      </c>
      <c r="M864" s="113">
        <f>IF($E864&gt;L$797,ROUND(($E864-L$797)*M$796,2),0)</f>
        <v>0</v>
      </c>
      <c r="N864" s="113"/>
      <c r="O864" s="113"/>
      <c r="P864" s="113"/>
      <c r="Q864" s="113"/>
      <c r="R864" s="16" t="e">
        <f>VLOOKUP((D865),'Pwr Factor'!$A$1:$B$52,2)</f>
        <v>#N/A</v>
      </c>
      <c r="S864" s="51">
        <v>0.25</v>
      </c>
      <c r="T864" s="113"/>
      <c r="U864" s="113"/>
      <c r="V864" s="33"/>
      <c r="W864" s="113"/>
      <c r="X864" s="113"/>
      <c r="Y864" s="113"/>
      <c r="Z864" s="113"/>
      <c r="AA864" s="113"/>
      <c r="AB864" s="19"/>
      <c r="AC864" s="130">
        <f t="shared" si="63"/>
        <v>0</v>
      </c>
    </row>
    <row r="865" spans="1:29" ht="13" x14ac:dyDescent="0.3">
      <c r="A865" s="57" t="s">
        <v>158</v>
      </c>
      <c r="B865" s="111">
        <f>IF(AND('AES Indiana Sep 23 Bill Calc.'!$D$17="HL2",'AES Indiana Sep 23 Bill Calc.'!$D$18="Yes 25%",'AES Indiana Sep 23 Bill Calc.'!$D$20="Yes 2022"),'AES Indiana Sep 23 Bill Calc.'!$D$19,-1)</f>
        <v>-1</v>
      </c>
      <c r="C865" s="111">
        <f>MAX(E865,$C$701)</f>
        <v>2000</v>
      </c>
      <c r="D865" s="111" t="b">
        <f>IF(AND('AES Indiana Sep 23 Bill Calc.'!$D$17="HL2",'AES Indiana Sep 23 Bill Calc.'!$D$18="Yes 25%",'AES Indiana Sep 23 Bill Calc.'!$D$20="Yes 2022"),'AES Indiana Sep 23 Bill Calc.'!$D$22)</f>
        <v>0</v>
      </c>
      <c r="E865" s="111" t="b">
        <f>IF(AND('AES Indiana Sep 23 Bill Calc.'!$D$17="HL2",'AES Indiana Sep 23 Bill Calc.'!$D$18="Yes 25%",'AES Indiana Sep 23 Bill Calc.'!$D$20="Yes 2022"),'AES Indiana Sep 23 Bill Calc.'!$D$21)</f>
        <v>0</v>
      </c>
      <c r="F865" s="37" t="s">
        <v>193</v>
      </c>
      <c r="G865" s="113" t="e">
        <f>SUM(J865:M865,R865:AA865)</f>
        <v>#N/A</v>
      </c>
      <c r="H865" s="19" t="e">
        <f>IF(ISBLANK(B865),0,+#REF!/B865)</f>
        <v>#REF!</v>
      </c>
      <c r="J865" s="134">
        <f t="shared" si="61"/>
        <v>211.78</v>
      </c>
      <c r="K865" s="113">
        <f t="shared" si="62"/>
        <v>-0.04</v>
      </c>
      <c r="L865" s="17">
        <f>IF(ISBLANK($C865),0,IF($C865&lt;$C$797,ROUND($C$797*$L$796,2),IF($C865&gt;L$797,ROUND(L$797*L$796,2),ROUND($C865*L$796,2))))</f>
        <v>44300</v>
      </c>
      <c r="M865" s="17">
        <f>IF($C865&gt;L$797,ROUND(($C865-L$797)*M$796,2),0)</f>
        <v>0</v>
      </c>
      <c r="N865" s="17">
        <f>K865</f>
        <v>-0.04</v>
      </c>
      <c r="O865" s="113"/>
      <c r="P865" s="113"/>
      <c r="Q865" s="17">
        <f>SUM(L865:M865)</f>
        <v>44300</v>
      </c>
      <c r="R865" s="135" t="e">
        <f>ROUND(SUM(K865:M865)*(R864-1),2)</f>
        <v>#N/A</v>
      </c>
      <c r="S865" s="113">
        <f>ROUND($B865*S$796*S864,2)</f>
        <v>0</v>
      </c>
      <c r="T865" s="113">
        <f>ROUND($B865*T$796,2)</f>
        <v>0</v>
      </c>
      <c r="U865" s="113">
        <f>ROUND($B865*U$796,2)</f>
        <v>0</v>
      </c>
      <c r="V865" s="33">
        <f>ROUND($B865*$V$794,2)</f>
        <v>0</v>
      </c>
      <c r="W865" s="113">
        <f>ROUND($B865*W$796,2)</f>
        <v>0</v>
      </c>
      <c r="X865" s="113">
        <f>ROUND($B865*X$796,2)</f>
        <v>0</v>
      </c>
      <c r="Y865" s="113">
        <f>ROUND($B865*Y$796,2)</f>
        <v>0</v>
      </c>
      <c r="Z865" s="113">
        <f>ROUND($B865*Z$796,2)</f>
        <v>0</v>
      </c>
      <c r="AA865" s="113">
        <f>ROUND($B865*AA$796,2)</f>
        <v>0</v>
      </c>
      <c r="AB865" s="19">
        <f>SUM(U$796:AA$796)+(-V$796+V851)</f>
        <v>2.3760000000000005E-3</v>
      </c>
      <c r="AC865" s="130" t="str">
        <f t="shared" si="63"/>
        <v>HL22</v>
      </c>
    </row>
    <row r="866" spans="1:29" ht="13" x14ac:dyDescent="0.3">
      <c r="A866" s="9"/>
      <c r="B866" s="111">
        <v>-1</v>
      </c>
      <c r="D866" s="33"/>
      <c r="E866" s="127"/>
      <c r="F866" s="37"/>
      <c r="G866" s="113"/>
      <c r="H866" s="19" t="e">
        <f>IF(ISBLANK(B866),0,+#REF!/B866)</f>
        <v>#REF!</v>
      </c>
      <c r="J866" s="134">
        <f t="shared" si="61"/>
        <v>211.78</v>
      </c>
      <c r="K866" s="113">
        <f t="shared" si="62"/>
        <v>-0.04</v>
      </c>
      <c r="L866" s="113">
        <f>IF(ISBLANK($E866),0,IF($E866&lt;$C$797,ROUND($C$797*$L$796,2),IF($E866&gt;L$797,ROUND(L$797*L$796,2),ROUND($E866*L$796,2))))</f>
        <v>0</v>
      </c>
      <c r="M866" s="113">
        <f>IF($E866&gt;L$797,ROUND(($E866-L$797)*M$796,2),0)</f>
        <v>0</v>
      </c>
      <c r="N866" s="113"/>
      <c r="O866" s="113"/>
      <c r="P866" s="113"/>
      <c r="Q866" s="113"/>
      <c r="R866" s="16" t="e">
        <f>VLOOKUP((D867),'Pwr Factor'!$A$1:$B$52,2)</f>
        <v>#N/A</v>
      </c>
      <c r="S866" s="51">
        <v>0.1</v>
      </c>
      <c r="T866" s="113"/>
      <c r="U866" s="113"/>
      <c r="V866" s="33"/>
      <c r="W866" s="113"/>
      <c r="X866" s="113"/>
      <c r="Y866" s="113"/>
      <c r="Z866" s="113"/>
      <c r="AA866" s="113"/>
      <c r="AB866" s="19"/>
      <c r="AC866" s="130">
        <f t="shared" si="63"/>
        <v>0</v>
      </c>
    </row>
    <row r="867" spans="1:29" ht="13" x14ac:dyDescent="0.3">
      <c r="A867" s="57" t="s">
        <v>173</v>
      </c>
      <c r="B867" s="111">
        <f>IF(AND('AES Indiana Sep 23 Bill Calc.'!$D$17="HL2",'AES Indiana Sep 23 Bill Calc.'!$D$18="Yes 10%",'AES Indiana Sep 23 Bill Calc.'!$D$20="Yes 2022"),'AES Indiana Sep 23 Bill Calc.'!$D$19,-1)</f>
        <v>-1</v>
      </c>
      <c r="C867" s="111">
        <f>MAX(E867,$C$701)</f>
        <v>2000</v>
      </c>
      <c r="D867" s="111" t="b">
        <f>IF(AND('AES Indiana Sep 23 Bill Calc.'!$D$17="HL2",'AES Indiana Sep 23 Bill Calc.'!$D$18="Yes 10%",'AES Indiana Sep 23 Bill Calc.'!$D$20="Yes 2022"),'AES Indiana Sep 23 Bill Calc.'!$D$22)</f>
        <v>0</v>
      </c>
      <c r="E867" s="111" t="b">
        <f>IF(AND('AES Indiana Sep 23 Bill Calc.'!$D$17="HL2",'AES Indiana Sep 23 Bill Calc.'!$D$18="Yes 10%",'AES Indiana Sep 23 Bill Calc.'!$D$20="Yes 2022"),'AES Indiana Sep 23 Bill Calc.'!$D$21)</f>
        <v>0</v>
      </c>
      <c r="F867" s="37" t="s">
        <v>193</v>
      </c>
      <c r="G867" s="113" t="e">
        <f>SUM(J867:M867,R867:AA867)</f>
        <v>#N/A</v>
      </c>
      <c r="H867" s="19" t="e">
        <f>IF(ISBLANK(B867),0,+#REF!/B867)</f>
        <v>#REF!</v>
      </c>
      <c r="J867" s="134">
        <f t="shared" si="61"/>
        <v>211.78</v>
      </c>
      <c r="K867" s="113">
        <f t="shared" si="62"/>
        <v>-0.04</v>
      </c>
      <c r="L867" s="17">
        <f>IF(ISBLANK($C867),0,IF($C867&lt;$C$797,ROUND($C$797*$L$796,2),IF($C867&gt;L$797,ROUND(L$797*L$796,2),ROUND($C867*L$796,2))))</f>
        <v>44300</v>
      </c>
      <c r="M867" s="17">
        <f>IF($C867&gt;L$797,ROUND(($C867-L$797)*M$796,2),0)</f>
        <v>0</v>
      </c>
      <c r="N867" s="17">
        <f>K867</f>
        <v>-0.04</v>
      </c>
      <c r="O867" s="113"/>
      <c r="P867" s="113"/>
      <c r="Q867" s="17">
        <f>SUM(L867:M867)</f>
        <v>44300</v>
      </c>
      <c r="R867" s="135" t="e">
        <f>ROUND(SUM(K867:M867)*(R866-1),2)</f>
        <v>#N/A</v>
      </c>
      <c r="S867" s="113">
        <f>ROUND($B867*S$796*S866,2)</f>
        <v>0</v>
      </c>
      <c r="T867" s="113">
        <f>ROUND($B867*T$796,2)</f>
        <v>0</v>
      </c>
      <c r="U867" s="113">
        <f>ROUND($B867*U$796,2)</f>
        <v>0</v>
      </c>
      <c r="V867" s="33">
        <f>ROUND($B867*$V$794,2)</f>
        <v>0</v>
      </c>
      <c r="W867" s="113">
        <f>ROUND($B867*W$796,2)</f>
        <v>0</v>
      </c>
      <c r="X867" s="113">
        <f>ROUND($B867*X$796,2)</f>
        <v>0</v>
      </c>
      <c r="Y867" s="113">
        <f>ROUND($B867*Y$796,2)</f>
        <v>0</v>
      </c>
      <c r="Z867" s="113">
        <f>ROUND($B867*Z$796,2)</f>
        <v>0</v>
      </c>
      <c r="AA867" s="113">
        <f>ROUND($B867*AA$796,2)</f>
        <v>0</v>
      </c>
      <c r="AB867" s="19">
        <f>SUM(U$796:AA$796)+(-V$796+V853)</f>
        <v>2.3760000000000005E-3</v>
      </c>
      <c r="AC867" s="130" t="str">
        <f t="shared" si="63"/>
        <v>HL22</v>
      </c>
    </row>
    <row r="868" spans="1:29" ht="13" x14ac:dyDescent="0.3">
      <c r="A868" s="9"/>
      <c r="B868" s="111">
        <v>-1</v>
      </c>
      <c r="D868" s="33"/>
      <c r="E868" s="127"/>
      <c r="F868" s="37"/>
      <c r="G868" s="113"/>
      <c r="H868" s="19" t="e">
        <f>IF(ISBLANK(B868),0,+#REF!/B868)</f>
        <v>#REF!</v>
      </c>
      <c r="J868" s="134">
        <f t="shared" si="61"/>
        <v>211.78</v>
      </c>
      <c r="K868" s="113">
        <f t="shared" si="62"/>
        <v>-0.04</v>
      </c>
      <c r="L868" s="113">
        <f>IF(ISBLANK($E868),0,IF($E868&lt;$C$797,ROUND($C$797*$L$796,2),IF($E868&gt;L$797,ROUND(L$797*L$796,2),ROUND($E868*L$796,2))))</f>
        <v>0</v>
      </c>
      <c r="M868" s="113">
        <f>IF($E868&gt;L$797,ROUND(($E868-L$797)*M$796,2),0)</f>
        <v>0</v>
      </c>
      <c r="N868" s="113"/>
      <c r="O868" s="113"/>
      <c r="P868" s="113"/>
      <c r="Q868" s="113"/>
      <c r="R868" s="16" t="e">
        <f>VLOOKUP((D869),'Pwr Factor'!$A$1:$B$52,2)</f>
        <v>#N/A</v>
      </c>
      <c r="S868" s="51">
        <v>0</v>
      </c>
      <c r="T868" s="113"/>
      <c r="U868" s="113"/>
      <c r="V868" s="33"/>
      <c r="W868" s="113"/>
      <c r="X868" s="113"/>
      <c r="Y868" s="113"/>
      <c r="Z868" s="113"/>
      <c r="AA868" s="113"/>
      <c r="AB868" s="19"/>
      <c r="AC868" s="130">
        <f t="shared" si="63"/>
        <v>0</v>
      </c>
    </row>
    <row r="869" spans="1:29" ht="13" x14ac:dyDescent="0.3">
      <c r="A869" s="57" t="s">
        <v>172</v>
      </c>
      <c r="B869" s="111">
        <f>IF(AND('AES Indiana Sep 23 Bill Calc.'!$D$17="HL2",'AES Indiana Sep 23 Bill Calc.'!$D$18="No",'AES Indiana Sep 23 Bill Calc.'!$D$20="Yes 2022"),'AES Indiana Sep 23 Bill Calc.'!$D$19,-1)</f>
        <v>-1</v>
      </c>
      <c r="C869" s="111">
        <f>MAX(E869,$C$701)</f>
        <v>2000</v>
      </c>
      <c r="D869" s="111" t="b">
        <f>IF(AND('AES Indiana Sep 23 Bill Calc.'!$D$17="HL2",'AES Indiana Sep 23 Bill Calc.'!$D$18="No",'AES Indiana Sep 23 Bill Calc.'!$D$20="Yes 2022"),'AES Indiana Sep 23 Bill Calc.'!$D$22)</f>
        <v>0</v>
      </c>
      <c r="E869" s="111" t="b">
        <f>IF(AND('AES Indiana Sep 23 Bill Calc.'!$D$17="HL2",'AES Indiana Sep 23 Bill Calc.'!$D$18="No",'AES Indiana Sep 23 Bill Calc.'!$D$20="Yes 2022"),'AES Indiana Sep 23 Bill Calc.'!$D$21)</f>
        <v>0</v>
      </c>
      <c r="F869" s="37" t="s">
        <v>193</v>
      </c>
      <c r="G869" s="113" t="e">
        <f>SUM(J869:M869,R869:AA869)</f>
        <v>#N/A</v>
      </c>
      <c r="H869" s="19" t="e">
        <f>IF(ISBLANK(B869),0,+#REF!/B869)</f>
        <v>#REF!</v>
      </c>
      <c r="J869" s="134">
        <f t="shared" si="61"/>
        <v>211.78</v>
      </c>
      <c r="K869" s="113">
        <f t="shared" si="62"/>
        <v>-0.04</v>
      </c>
      <c r="L869" s="17">
        <f>IF(ISBLANK($C869),0,IF($C869&lt;$C$797,ROUND($C$797*$L$796,2),IF($C869&gt;L$797,ROUND(L$797*L$796,2),ROUND($C869*L$796,2))))</f>
        <v>44300</v>
      </c>
      <c r="M869" s="17">
        <f>IF($C869&gt;L$797,ROUND(($C869-L$797)*M$796,2),0)</f>
        <v>0</v>
      </c>
      <c r="N869" s="17">
        <f>K869</f>
        <v>-0.04</v>
      </c>
      <c r="O869" s="113"/>
      <c r="P869" s="113"/>
      <c r="Q869" s="17">
        <f>SUM(L869:M869)</f>
        <v>44300</v>
      </c>
      <c r="R869" s="135" t="e">
        <f>ROUND(SUM(K869:M869)*(R868-1),2)</f>
        <v>#N/A</v>
      </c>
      <c r="S869" s="113">
        <f>ROUND($B869*S$796*S868,2)</f>
        <v>0</v>
      </c>
      <c r="T869" s="113">
        <f>ROUND($B869*T$796,2)</f>
        <v>0</v>
      </c>
      <c r="U869" s="113">
        <f>ROUND($B869*U$796,2)</f>
        <v>0</v>
      </c>
      <c r="V869" s="33">
        <f>ROUND($B869*$V$794,2)</f>
        <v>0</v>
      </c>
      <c r="W869" s="113">
        <f>ROUND($B869*W$796,2)</f>
        <v>0</v>
      </c>
      <c r="X869" s="113">
        <f>ROUND($B869*X$796,2)</f>
        <v>0</v>
      </c>
      <c r="Y869" s="113">
        <f>ROUND($B869*Y$796,2)</f>
        <v>0</v>
      </c>
      <c r="Z869" s="113">
        <f>ROUND($B869*Z$796,2)</f>
        <v>0</v>
      </c>
      <c r="AA869" s="113">
        <f>ROUND($B869*AA$796,2)</f>
        <v>0</v>
      </c>
      <c r="AB869" s="19">
        <f>SUM(U$796:AA$796)+(-V$796+V855)</f>
        <v>2.3760000000000005E-3</v>
      </c>
      <c r="AC869" s="130" t="str">
        <f t="shared" si="63"/>
        <v>HL22</v>
      </c>
    </row>
    <row r="870" spans="1:29" ht="13" x14ac:dyDescent="0.3">
      <c r="B870" s="111">
        <v>-1</v>
      </c>
      <c r="D870" s="33"/>
      <c r="E870" s="127"/>
      <c r="F870" s="37"/>
      <c r="G870" s="113"/>
      <c r="H870" s="19" t="e">
        <f>IF(ISBLANK(B870),0,+#REF!/B870)</f>
        <v>#REF!</v>
      </c>
      <c r="J870" s="134">
        <f t="shared" si="61"/>
        <v>211.78</v>
      </c>
      <c r="K870" s="113">
        <f t="shared" si="62"/>
        <v>-0.04</v>
      </c>
      <c r="L870" s="113">
        <f>IF(ISBLANK($E870),0,IF($E870&lt;$C$797,ROUND($C$797*$L$796,2),IF($E870&gt;L$797,ROUND(L$797*L$796,2),ROUND($E870*L$796,2))))</f>
        <v>0</v>
      </c>
      <c r="M870" s="113">
        <f>IF($E870&gt;L$797,ROUND(($E870-L$797)*M$796,2),0)</f>
        <v>0</v>
      </c>
      <c r="N870" s="113"/>
      <c r="O870" s="113"/>
      <c r="P870" s="113"/>
      <c r="Q870" s="113"/>
      <c r="R870" s="16" t="e">
        <f>VLOOKUP((D871),'Pwr Factor'!$A$1:$B$52,2)</f>
        <v>#N/A</v>
      </c>
      <c r="S870" s="51">
        <v>1</v>
      </c>
      <c r="T870" s="113"/>
      <c r="U870" s="113"/>
      <c r="V870" s="33"/>
      <c r="W870" s="113"/>
      <c r="X870" s="113"/>
      <c r="Y870" s="113"/>
      <c r="Z870" s="113"/>
      <c r="AA870" s="113"/>
      <c r="AB870" s="19"/>
      <c r="AC870" s="130">
        <f t="shared" si="63"/>
        <v>0</v>
      </c>
    </row>
    <row r="871" spans="1:29" ht="13" x14ac:dyDescent="0.3">
      <c r="A871" s="1" t="s">
        <v>73</v>
      </c>
      <c r="B871" s="111">
        <f>IF(AND('AES Indiana Sep 23 Bill Calc.'!$D$17="HL2",'AES Indiana Sep 23 Bill Calc.'!$D$18="Yes 100%",'AES Indiana Sep 23 Bill Calc.'!$D$20="Yes 2023"),'AES Indiana Sep 23 Bill Calc.'!$D$19,-1)</f>
        <v>-1</v>
      </c>
      <c r="C871" s="111">
        <f>MAX(E871,$C$701)</f>
        <v>2000</v>
      </c>
      <c r="D871" s="111" t="b">
        <f>IF(AND('AES Indiana Sep 23 Bill Calc.'!$D$17="HL2",'AES Indiana Sep 23 Bill Calc.'!$D$18="Yes 100%",'AES Indiana Sep 23 Bill Calc.'!$D$20="Yes 2022"),'AES Indiana Sep 23 Bill Calc.'!$D$22)</f>
        <v>0</v>
      </c>
      <c r="E871" s="111" t="b">
        <f>IF(AND('AES Indiana Sep 23 Bill Calc.'!$D$17="HL2",'AES Indiana Sep 23 Bill Calc.'!$D$18="Yes 100%",'AES Indiana Sep 23 Bill Calc.'!$D$20="Yes 2022"),'AES Indiana Sep 23 Bill Calc.'!$D$21)</f>
        <v>0</v>
      </c>
      <c r="F871" s="37" t="s">
        <v>193</v>
      </c>
      <c r="G871" s="113" t="e">
        <f>SUM(J871:M871,R871:AA871)</f>
        <v>#N/A</v>
      </c>
      <c r="H871" s="19" t="e">
        <f>IF(ISBLANK(B871),0,+#REF!/B871)</f>
        <v>#REF!</v>
      </c>
      <c r="J871" s="134">
        <f t="shared" si="61"/>
        <v>211.78</v>
      </c>
      <c r="K871" s="113">
        <f t="shared" si="62"/>
        <v>-0.04</v>
      </c>
      <c r="L871" s="17">
        <f>IF(ISBLANK($C871),0,IF($C871&lt;$C$797,ROUND($C$797*$L$796,2),IF($C871&gt;L$797,ROUND(L$797*L$796,2),ROUND($C871*L$796,2))))</f>
        <v>44300</v>
      </c>
      <c r="M871" s="17">
        <f>IF($C871&gt;L$797,ROUND(($C871-L$797)*M$796,2),0)</f>
        <v>0</v>
      </c>
      <c r="N871" s="17">
        <f>K871</f>
        <v>-0.04</v>
      </c>
      <c r="O871" s="113"/>
      <c r="P871" s="113"/>
      <c r="Q871" s="17">
        <f>SUM(L871:M871)</f>
        <v>44300</v>
      </c>
      <c r="R871" s="135" t="e">
        <f>ROUND(SUM(K871:M871)*(R870-1),2)</f>
        <v>#N/A</v>
      </c>
      <c r="S871" s="113">
        <f>ROUND($B871*S$796*S870,2)</f>
        <v>0</v>
      </c>
      <c r="T871" s="113">
        <f>ROUND($B871*T$796,2)</f>
        <v>0</v>
      </c>
      <c r="U871" s="113">
        <f>ROUND($B871*U$796,2)</f>
        <v>0</v>
      </c>
      <c r="V871" s="33">
        <f>ROUND($B871*$V$795,2)</f>
        <v>0</v>
      </c>
      <c r="W871" s="113">
        <f>ROUND($B871*W$796,2)</f>
        <v>0</v>
      </c>
      <c r="X871" s="113">
        <f>ROUND($B871*X$796,2)</f>
        <v>0</v>
      </c>
      <c r="Y871" s="113">
        <f>ROUND($B871*Y$796,2)</f>
        <v>0</v>
      </c>
      <c r="Z871" s="113">
        <f>ROUND($B871*Z$796,2)</f>
        <v>0</v>
      </c>
      <c r="AA871" s="113">
        <f>ROUND($B871*AA$796,2)</f>
        <v>0</v>
      </c>
      <c r="AB871" s="19">
        <f>SUM(U$796:AA$796)+(-V$796+V857)</f>
        <v>2.3760000000000005E-3</v>
      </c>
      <c r="AC871" s="130" t="str">
        <f t="shared" si="63"/>
        <v>HL22</v>
      </c>
    </row>
    <row r="872" spans="1:29" ht="13" x14ac:dyDescent="0.3">
      <c r="A872" s="9"/>
      <c r="B872" s="111">
        <v>-1</v>
      </c>
      <c r="D872" s="33"/>
      <c r="E872" s="127"/>
      <c r="F872" s="37"/>
      <c r="G872" s="113"/>
      <c r="H872" s="19" t="e">
        <f>IF(ISBLANK(B872),0,+#REF!/B872)</f>
        <v>#REF!</v>
      </c>
      <c r="J872" s="134">
        <f t="shared" si="61"/>
        <v>211.78</v>
      </c>
      <c r="K872" s="113">
        <f t="shared" si="62"/>
        <v>-0.04</v>
      </c>
      <c r="L872" s="113">
        <f>IF(ISBLANK($E872),0,IF($E872&lt;$C$797,ROUND($C$797*$L$796,2),IF($E872&gt;L$797,ROUND(L$797*L$796,2),ROUND($E872*L$796,2))))</f>
        <v>0</v>
      </c>
      <c r="M872" s="113">
        <f>IF($E872&gt;L$797,ROUND(($E872-L$797)*M$796,2),0)</f>
        <v>0</v>
      </c>
      <c r="N872" s="113"/>
      <c r="O872" s="113"/>
      <c r="P872" s="113"/>
      <c r="Q872" s="113"/>
      <c r="R872" s="16" t="e">
        <f>VLOOKUP((D873),'Pwr Factor'!$A$1:$B$52,2)</f>
        <v>#N/A</v>
      </c>
      <c r="S872" s="51">
        <v>0.5</v>
      </c>
      <c r="T872" s="113"/>
      <c r="U872" s="113"/>
      <c r="V872" s="33"/>
      <c r="W872" s="113"/>
      <c r="X872" s="113"/>
      <c r="Y872" s="113"/>
      <c r="Z872" s="113"/>
      <c r="AA872" s="113"/>
      <c r="AB872" s="19"/>
      <c r="AC872" s="130">
        <f t="shared" si="63"/>
        <v>0</v>
      </c>
    </row>
    <row r="873" spans="1:29" ht="13" x14ac:dyDescent="0.3">
      <c r="A873" s="57" t="s">
        <v>171</v>
      </c>
      <c r="B873" s="111">
        <f>IF(AND('AES Indiana Sep 23 Bill Calc.'!$D$17="HL2",'AES Indiana Sep 23 Bill Calc.'!$D$18="Yes 50%",'AES Indiana Sep 23 Bill Calc.'!$D$20="Yes 2023"),'AES Indiana Sep 23 Bill Calc.'!$D$19,-1)</f>
        <v>-1</v>
      </c>
      <c r="C873" s="111">
        <f>MAX(E873,$C$701)</f>
        <v>2000</v>
      </c>
      <c r="D873" s="111" t="b">
        <f>IF(AND('AES Indiana Sep 23 Bill Calc.'!$D$17="HL2",'AES Indiana Sep 23 Bill Calc.'!$D$18="Yes 50%",'AES Indiana Sep 23 Bill Calc.'!$D$20="Yes 2022"),'AES Indiana Sep 23 Bill Calc.'!$D$22)</f>
        <v>0</v>
      </c>
      <c r="E873" s="111" t="b">
        <f>IF(AND('AES Indiana Sep 23 Bill Calc.'!$D$17="HL2",'AES Indiana Sep 23 Bill Calc.'!$D$18="Yes 50%",'AES Indiana Sep 23 Bill Calc.'!$D$20="Yes 2022"),'AES Indiana Sep 23 Bill Calc.'!$D$21)</f>
        <v>0</v>
      </c>
      <c r="F873" s="37" t="s">
        <v>193</v>
      </c>
      <c r="G873" s="113" t="e">
        <f>SUM(J873:M873,R873:AA873)</f>
        <v>#N/A</v>
      </c>
      <c r="H873" s="19" t="e">
        <f>IF(ISBLANK(B873),0,+#REF!/B873)</f>
        <v>#REF!</v>
      </c>
      <c r="J873" s="134">
        <f t="shared" ref="J873:J879" si="64">IF(ISBLANK(B873),0,+J$796)</f>
        <v>211.78</v>
      </c>
      <c r="K873" s="113">
        <f t="shared" ref="K873:K879" si="65">ROUND($B873*K$796,2)</f>
        <v>-0.04</v>
      </c>
      <c r="L873" s="17">
        <f>IF(ISBLANK($C873),0,IF($C873&lt;$C$797,ROUND($C$797*$L$796,2),IF($C873&gt;L$797,ROUND(L$797*L$796,2),ROUND($C873*L$796,2))))</f>
        <v>44300</v>
      </c>
      <c r="M873" s="17">
        <f>IF($C873&gt;L$797,ROUND(($C873-L$797)*M$796,2),0)</f>
        <v>0</v>
      </c>
      <c r="N873" s="17">
        <f>K873</f>
        <v>-0.04</v>
      </c>
      <c r="O873" s="113"/>
      <c r="P873" s="113"/>
      <c r="Q873" s="17">
        <f>SUM(L873:M873)</f>
        <v>44300</v>
      </c>
      <c r="R873" s="135" t="e">
        <f>ROUND(SUM(K873:M873)*(R872-1),2)</f>
        <v>#N/A</v>
      </c>
      <c r="S873" s="113">
        <f>ROUND($B873*S$796*S872,2)</f>
        <v>0</v>
      </c>
      <c r="T873" s="113">
        <f>ROUND($B873*T$796,2)</f>
        <v>0</v>
      </c>
      <c r="U873" s="113">
        <f>ROUND($B873*U$796,2)</f>
        <v>0</v>
      </c>
      <c r="V873" s="33">
        <f>ROUND($B873*$V$795,2)</f>
        <v>0</v>
      </c>
      <c r="W873" s="113">
        <f>ROUND($B873*W$796,2)</f>
        <v>0</v>
      </c>
      <c r="X873" s="113">
        <f>ROUND($B873*X$796,2)</f>
        <v>0</v>
      </c>
      <c r="Y873" s="113">
        <f>ROUND($B873*Y$796,2)</f>
        <v>0</v>
      </c>
      <c r="Z873" s="113">
        <f>ROUND($B873*Z$796,2)</f>
        <v>0</v>
      </c>
      <c r="AA873" s="113">
        <f>ROUND($B873*AA$796,2)</f>
        <v>0</v>
      </c>
      <c r="AB873" s="19">
        <f>SUM(U$796:AA$796)+(-V$796+V859)</f>
        <v>2.3760000000000005E-3</v>
      </c>
      <c r="AC873" s="130" t="str">
        <f t="shared" ref="AC873:AC879" si="66">+F873</f>
        <v>HL22</v>
      </c>
    </row>
    <row r="874" spans="1:29" ht="13" x14ac:dyDescent="0.3">
      <c r="A874" s="9"/>
      <c r="B874" s="111">
        <v>-1</v>
      </c>
      <c r="D874" s="33"/>
      <c r="E874" s="127"/>
      <c r="F874" s="37"/>
      <c r="G874" s="113"/>
      <c r="H874" s="19" t="e">
        <f>IF(ISBLANK(B874),0,+#REF!/B874)</f>
        <v>#REF!</v>
      </c>
      <c r="J874" s="134">
        <f t="shared" si="64"/>
        <v>211.78</v>
      </c>
      <c r="K874" s="113">
        <f t="shared" si="65"/>
        <v>-0.04</v>
      </c>
      <c r="L874" s="113">
        <f>IF(ISBLANK($E874),0,IF($E874&lt;$C$797,ROUND($C$797*$L$796,2),IF($E874&gt;L$797,ROUND(L$797*L$796,2),ROUND($E874*L$796,2))))</f>
        <v>0</v>
      </c>
      <c r="M874" s="113">
        <f>IF($E874&gt;L$797,ROUND(($E874-L$797)*M$796,2),0)</f>
        <v>0</v>
      </c>
      <c r="N874" s="113"/>
      <c r="O874" s="113"/>
      <c r="P874" s="113"/>
      <c r="Q874" s="113"/>
      <c r="R874" s="16" t="e">
        <f>VLOOKUP((D875),'Pwr Factor'!$A$1:$B$52,2)</f>
        <v>#N/A</v>
      </c>
      <c r="S874" s="51">
        <v>0.25</v>
      </c>
      <c r="T874" s="113"/>
      <c r="U874" s="113"/>
      <c r="V874" s="33"/>
      <c r="W874" s="113"/>
      <c r="X874" s="113"/>
      <c r="Y874" s="113"/>
      <c r="Z874" s="113"/>
      <c r="AA874" s="113"/>
      <c r="AB874" s="19"/>
      <c r="AC874" s="130">
        <f t="shared" si="66"/>
        <v>0</v>
      </c>
    </row>
    <row r="875" spans="1:29" ht="13" x14ac:dyDescent="0.3">
      <c r="A875" s="57" t="s">
        <v>158</v>
      </c>
      <c r="B875" s="111">
        <f>IF(AND('AES Indiana Sep 23 Bill Calc.'!$D$17="HL2",'AES Indiana Sep 23 Bill Calc.'!$D$18="Yes 25%",'AES Indiana Sep 23 Bill Calc.'!$D$20="Yes 2023"),'AES Indiana Sep 23 Bill Calc.'!$D$19,-1)</f>
        <v>-1</v>
      </c>
      <c r="C875" s="111">
        <f>MAX(E875,$C$701)</f>
        <v>2000</v>
      </c>
      <c r="D875" s="111" t="b">
        <f>IF(AND('AES Indiana Sep 23 Bill Calc.'!$D$17="HL2",'AES Indiana Sep 23 Bill Calc.'!$D$18="Yes 25%",'AES Indiana Sep 23 Bill Calc.'!$D$20="Yes 2022"),'AES Indiana Sep 23 Bill Calc.'!$D$22)</f>
        <v>0</v>
      </c>
      <c r="E875" s="111" t="b">
        <f>IF(AND('AES Indiana Sep 23 Bill Calc.'!$D$17="HL2",'AES Indiana Sep 23 Bill Calc.'!$D$18="Yes 25%",'AES Indiana Sep 23 Bill Calc.'!$D$20="Yes 2022"),'AES Indiana Sep 23 Bill Calc.'!$D$21)</f>
        <v>0</v>
      </c>
      <c r="F875" s="37" t="s">
        <v>193</v>
      </c>
      <c r="G875" s="113" t="e">
        <f>SUM(J875:M875,R875:AA875)</f>
        <v>#N/A</v>
      </c>
      <c r="H875" s="19" t="e">
        <f>IF(ISBLANK(B875),0,+#REF!/B875)</f>
        <v>#REF!</v>
      </c>
      <c r="J875" s="134">
        <f t="shared" si="64"/>
        <v>211.78</v>
      </c>
      <c r="K875" s="113">
        <f t="shared" si="65"/>
        <v>-0.04</v>
      </c>
      <c r="L875" s="17">
        <f>IF(ISBLANK($C875),0,IF($C875&lt;$C$797,ROUND($C$797*$L$796,2),IF($C875&gt;L$797,ROUND(L$797*L$796,2),ROUND($C875*L$796,2))))</f>
        <v>44300</v>
      </c>
      <c r="M875" s="17">
        <f>IF($C875&gt;L$797,ROUND(($C875-L$797)*M$796,2),0)</f>
        <v>0</v>
      </c>
      <c r="N875" s="17">
        <f>K875</f>
        <v>-0.04</v>
      </c>
      <c r="O875" s="113"/>
      <c r="P875" s="113"/>
      <c r="Q875" s="17">
        <f>SUM(L875:M875)</f>
        <v>44300</v>
      </c>
      <c r="R875" s="135" t="e">
        <f>ROUND(SUM(K875:M875)*(R874-1),2)</f>
        <v>#N/A</v>
      </c>
      <c r="S875" s="113">
        <f>ROUND($B875*S$796*S874,2)</f>
        <v>0</v>
      </c>
      <c r="T875" s="113">
        <f>ROUND($B875*T$796,2)</f>
        <v>0</v>
      </c>
      <c r="U875" s="113">
        <f>ROUND($B875*U$796,2)</f>
        <v>0</v>
      </c>
      <c r="V875" s="33">
        <f>ROUND($B875*$V$795,2)</f>
        <v>0</v>
      </c>
      <c r="W875" s="113">
        <f>ROUND($B875*W$796,2)</f>
        <v>0</v>
      </c>
      <c r="X875" s="113">
        <f>ROUND($B875*X$796,2)</f>
        <v>0</v>
      </c>
      <c r="Y875" s="113">
        <f>ROUND($B875*Y$796,2)</f>
        <v>0</v>
      </c>
      <c r="Z875" s="113">
        <f>ROUND($B875*Z$796,2)</f>
        <v>0</v>
      </c>
      <c r="AA875" s="113">
        <f>ROUND($B875*AA$796,2)</f>
        <v>0</v>
      </c>
      <c r="AB875" s="19">
        <f>SUM(U$796:AA$796)+(-V$796+V861)</f>
        <v>2.3760000000000005E-3</v>
      </c>
      <c r="AC875" s="130" t="str">
        <f t="shared" si="66"/>
        <v>HL22</v>
      </c>
    </row>
    <row r="876" spans="1:29" ht="13" x14ac:dyDescent="0.3">
      <c r="A876" s="9"/>
      <c r="B876" s="111">
        <v>-1</v>
      </c>
      <c r="D876" s="33"/>
      <c r="E876" s="127"/>
      <c r="F876" s="37"/>
      <c r="G876" s="113"/>
      <c r="H876" s="19" t="e">
        <f>IF(ISBLANK(B876),0,+#REF!/B876)</f>
        <v>#REF!</v>
      </c>
      <c r="J876" s="134">
        <f t="shared" si="64"/>
        <v>211.78</v>
      </c>
      <c r="K876" s="113">
        <f t="shared" si="65"/>
        <v>-0.04</v>
      </c>
      <c r="L876" s="113">
        <f>IF(ISBLANK($E876),0,IF($E876&lt;$C$797,ROUND($C$797*$L$796,2),IF($E876&gt;L$797,ROUND(L$797*L$796,2),ROUND($E876*L$796,2))))</f>
        <v>0</v>
      </c>
      <c r="M876" s="113">
        <f>IF($E876&gt;L$797,ROUND(($E876-L$797)*M$796,2),0)</f>
        <v>0</v>
      </c>
      <c r="N876" s="113"/>
      <c r="O876" s="113"/>
      <c r="P876" s="113"/>
      <c r="Q876" s="113"/>
      <c r="R876" s="16" t="e">
        <f>VLOOKUP((D877),'Pwr Factor'!$A$1:$B$52,2)</f>
        <v>#N/A</v>
      </c>
      <c r="S876" s="51">
        <v>0.1</v>
      </c>
      <c r="T876" s="113"/>
      <c r="U876" s="113"/>
      <c r="V876" s="33"/>
      <c r="W876" s="113"/>
      <c r="X876" s="113"/>
      <c r="Y876" s="113"/>
      <c r="Z876" s="113"/>
      <c r="AA876" s="113"/>
      <c r="AB876" s="19"/>
      <c r="AC876" s="130">
        <f t="shared" si="66"/>
        <v>0</v>
      </c>
    </row>
    <row r="877" spans="1:29" ht="13" x14ac:dyDescent="0.3">
      <c r="A877" s="57" t="s">
        <v>173</v>
      </c>
      <c r="B877" s="111">
        <f>IF(AND('AES Indiana Sep 23 Bill Calc.'!$D$17="HL2",'AES Indiana Sep 23 Bill Calc.'!$D$18="Yes 10%",'AES Indiana Sep 23 Bill Calc.'!$D$20="Yes 2023"),'AES Indiana Sep 23 Bill Calc.'!$D$19,-1)</f>
        <v>-1</v>
      </c>
      <c r="C877" s="111">
        <f>MAX(E877,$C$701)</f>
        <v>2000</v>
      </c>
      <c r="D877" s="111" t="b">
        <f>IF(AND('AES Indiana Sep 23 Bill Calc.'!$D$17="HL2",'AES Indiana Sep 23 Bill Calc.'!$D$18="Yes 10%",'AES Indiana Sep 23 Bill Calc.'!$D$20="Yes 2022"),'AES Indiana Sep 23 Bill Calc.'!$D$22)</f>
        <v>0</v>
      </c>
      <c r="E877" s="111" t="b">
        <f>IF(AND('AES Indiana Sep 23 Bill Calc.'!$D$17="HL2",'AES Indiana Sep 23 Bill Calc.'!$D$18="Yes 10%",'AES Indiana Sep 23 Bill Calc.'!$D$20="Yes 2022"),'AES Indiana Sep 23 Bill Calc.'!$D$21)</f>
        <v>0</v>
      </c>
      <c r="F877" s="37" t="s">
        <v>193</v>
      </c>
      <c r="G877" s="113" t="e">
        <f>SUM(J877:M877,R877:AA877)</f>
        <v>#N/A</v>
      </c>
      <c r="H877" s="19" t="e">
        <f>IF(ISBLANK(B877),0,+#REF!/B877)</f>
        <v>#REF!</v>
      </c>
      <c r="J877" s="134">
        <f t="shared" si="64"/>
        <v>211.78</v>
      </c>
      <c r="K877" s="113">
        <f t="shared" si="65"/>
        <v>-0.04</v>
      </c>
      <c r="L877" s="17">
        <f>IF(ISBLANK($C877),0,IF($C877&lt;$C$797,ROUND($C$797*$L$796,2),IF($C877&gt;L$797,ROUND(L$797*L$796,2),ROUND($C877*L$796,2))))</f>
        <v>44300</v>
      </c>
      <c r="M877" s="17">
        <f>IF($C877&gt;L$797,ROUND(($C877-L$797)*M$796,2),0)</f>
        <v>0</v>
      </c>
      <c r="N877" s="17">
        <f>K877</f>
        <v>-0.04</v>
      </c>
      <c r="O877" s="113"/>
      <c r="P877" s="113"/>
      <c r="Q877" s="17">
        <f>SUM(L877:M877)</f>
        <v>44300</v>
      </c>
      <c r="R877" s="135" t="e">
        <f>ROUND(SUM(K877:M877)*(R876-1),2)</f>
        <v>#N/A</v>
      </c>
      <c r="S877" s="113">
        <f>ROUND($B877*S$796*S876,2)</f>
        <v>0</v>
      </c>
      <c r="T877" s="113">
        <f>ROUND($B877*T$796,2)</f>
        <v>0</v>
      </c>
      <c r="U877" s="113">
        <f>ROUND($B877*U$796,2)</f>
        <v>0</v>
      </c>
      <c r="V877" s="33">
        <f>ROUND($B877*$V$795,2)</f>
        <v>0</v>
      </c>
      <c r="W877" s="113">
        <f>ROUND($B877*W$796,2)</f>
        <v>0</v>
      </c>
      <c r="X877" s="113">
        <f>ROUND($B877*X$796,2)</f>
        <v>0</v>
      </c>
      <c r="Y877" s="113">
        <f>ROUND($B877*Y$796,2)</f>
        <v>0</v>
      </c>
      <c r="Z877" s="113">
        <f>ROUND($B877*Z$796,2)</f>
        <v>0</v>
      </c>
      <c r="AA877" s="113">
        <f>ROUND($B877*AA$796,2)</f>
        <v>0</v>
      </c>
      <c r="AB877" s="19">
        <f>SUM(U$796:AA$796)+(-V$796+V863)</f>
        <v>2.3760000000000005E-3</v>
      </c>
      <c r="AC877" s="130" t="str">
        <f t="shared" si="66"/>
        <v>HL22</v>
      </c>
    </row>
    <row r="878" spans="1:29" ht="13" x14ac:dyDescent="0.3">
      <c r="A878" s="9"/>
      <c r="B878" s="111">
        <v>-1</v>
      </c>
      <c r="D878" s="33"/>
      <c r="E878" s="127"/>
      <c r="F878" s="37"/>
      <c r="G878" s="113"/>
      <c r="H878" s="19" t="e">
        <f>IF(ISBLANK(B878),0,+#REF!/B878)</f>
        <v>#REF!</v>
      </c>
      <c r="J878" s="134">
        <f t="shared" si="64"/>
        <v>211.78</v>
      </c>
      <c r="K878" s="113">
        <f t="shared" si="65"/>
        <v>-0.04</v>
      </c>
      <c r="L878" s="113">
        <f>IF(ISBLANK($E878),0,IF($E878&lt;$C$797,ROUND($C$797*$L$796,2),IF($E878&gt;L$797,ROUND(L$797*L$796,2),ROUND($E878*L$796,2))))</f>
        <v>0</v>
      </c>
      <c r="M878" s="113">
        <f>IF($E878&gt;L$797,ROUND(($E878-L$797)*M$796,2),0)</f>
        <v>0</v>
      </c>
      <c r="N878" s="113"/>
      <c r="O878" s="113"/>
      <c r="P878" s="113"/>
      <c r="Q878" s="113"/>
      <c r="R878" s="16" t="e">
        <f>VLOOKUP((D879),'Pwr Factor'!$A$1:$B$52,2)</f>
        <v>#N/A</v>
      </c>
      <c r="S878" s="51">
        <v>0</v>
      </c>
      <c r="T878" s="113"/>
      <c r="U878" s="113"/>
      <c r="V878" s="33"/>
      <c r="W878" s="113"/>
      <c r="X878" s="113"/>
      <c r="Y878" s="113"/>
      <c r="Z878" s="113"/>
      <c r="AA878" s="113"/>
      <c r="AB878" s="19"/>
      <c r="AC878" s="130">
        <f t="shared" si="66"/>
        <v>0</v>
      </c>
    </row>
    <row r="879" spans="1:29" ht="13" x14ac:dyDescent="0.3">
      <c r="A879" s="57" t="s">
        <v>172</v>
      </c>
      <c r="B879" s="111">
        <f>IF(AND('AES Indiana Sep 23 Bill Calc.'!$D$17="HL2",'AES Indiana Sep 23 Bill Calc.'!$D$18="No",'AES Indiana Sep 23 Bill Calc.'!$D$20="Yes 2023"),'AES Indiana Sep 23 Bill Calc.'!$D$19,-1)</f>
        <v>-1</v>
      </c>
      <c r="C879" s="111">
        <f>MAX(E879,$C$701)</f>
        <v>2000</v>
      </c>
      <c r="D879" s="111" t="b">
        <f>IF(AND('AES Indiana Sep 23 Bill Calc.'!$D$17="HL2",'AES Indiana Sep 23 Bill Calc.'!$D$18="No",'AES Indiana Sep 23 Bill Calc.'!$D$20="Yes 2022"),'AES Indiana Sep 23 Bill Calc.'!$D$22)</f>
        <v>0</v>
      </c>
      <c r="E879" s="111" t="b">
        <f>IF(AND('AES Indiana Sep 23 Bill Calc.'!$D$17="HL2",'AES Indiana Sep 23 Bill Calc.'!$D$18="No",'AES Indiana Sep 23 Bill Calc.'!$D$20="Yes 2022"),'AES Indiana Sep 23 Bill Calc.'!$D$21)</f>
        <v>0</v>
      </c>
      <c r="F879" s="37" t="s">
        <v>193</v>
      </c>
      <c r="G879" s="113" t="e">
        <f>SUM(J879:M879,R879:AA879)</f>
        <v>#N/A</v>
      </c>
      <c r="H879" s="19" t="e">
        <f>IF(ISBLANK(B879),0,+#REF!/B879)</f>
        <v>#REF!</v>
      </c>
      <c r="J879" s="134">
        <f t="shared" si="64"/>
        <v>211.78</v>
      </c>
      <c r="K879" s="113">
        <f t="shared" si="65"/>
        <v>-0.04</v>
      </c>
      <c r="L879" s="17">
        <f>IF(ISBLANK($C879),0,IF($C879&lt;$C$797,ROUND($C$797*$L$796,2),IF($C879&gt;L$797,ROUND(L$797*L$796,2),ROUND($C879*L$796,2))))</f>
        <v>44300</v>
      </c>
      <c r="M879" s="17">
        <f>IF($C879&gt;L$797,ROUND(($C879-L$797)*M$796,2),0)</f>
        <v>0</v>
      </c>
      <c r="N879" s="17">
        <f>K879</f>
        <v>-0.04</v>
      </c>
      <c r="O879" s="113"/>
      <c r="P879" s="113"/>
      <c r="Q879" s="17">
        <f>SUM(L879:M879)</f>
        <v>44300</v>
      </c>
      <c r="R879" s="135" t="e">
        <f>ROUND(SUM(K879:M879)*(R878-1),2)</f>
        <v>#N/A</v>
      </c>
      <c r="S879" s="113">
        <f>ROUND($B879*S$796*S878,2)</f>
        <v>0</v>
      </c>
      <c r="T879" s="113">
        <f>ROUND($B879*T$796,2)</f>
        <v>0</v>
      </c>
      <c r="U879" s="113">
        <f>ROUND($B879*U$796,2)</f>
        <v>0</v>
      </c>
      <c r="V879" s="33">
        <f>ROUND($B879*$V$795,2)</f>
        <v>0</v>
      </c>
      <c r="W879" s="113">
        <f>ROUND($B879*W$796,2)</f>
        <v>0</v>
      </c>
      <c r="X879" s="113">
        <f>ROUND($B879*X$796,2)</f>
        <v>0</v>
      </c>
      <c r="Y879" s="113">
        <f>ROUND($B879*Y$796,2)</f>
        <v>0</v>
      </c>
      <c r="Z879" s="113">
        <f>ROUND($B879*Z$796,2)</f>
        <v>0</v>
      </c>
      <c r="AA879" s="113">
        <f>ROUND($B879*AA$796,2)</f>
        <v>0</v>
      </c>
      <c r="AB879" s="19">
        <f>SUM(U$796:AA$796)+(-V$796+V865)</f>
        <v>2.3760000000000005E-3</v>
      </c>
      <c r="AC879" s="130" t="str">
        <f t="shared" si="66"/>
        <v>HL22</v>
      </c>
    </row>
    <row r="880" spans="1:29" x14ac:dyDescent="0.25">
      <c r="B880" s="111">
        <v>-1</v>
      </c>
      <c r="C880" s="9"/>
      <c r="D880" s="8"/>
      <c r="X880" s="6"/>
      <c r="Y880" s="6"/>
      <c r="Z880" s="6"/>
      <c r="AA880" s="6"/>
      <c r="AB880" s="19">
        <f>+AB$889-V$889+V881</f>
        <v>2.1570000000000001E-3</v>
      </c>
    </row>
    <row r="881" spans="1:29" x14ac:dyDescent="0.25">
      <c r="B881" s="111">
        <v>-1</v>
      </c>
      <c r="C881" s="9"/>
      <c r="D881" s="8"/>
      <c r="L881" t="s">
        <v>30</v>
      </c>
      <c r="M881" t="s">
        <v>30</v>
      </c>
      <c r="S881" s="6"/>
      <c r="T881" s="6"/>
      <c r="U881" s="6"/>
      <c r="V881" s="19">
        <f>+T8</f>
        <v>0</v>
      </c>
      <c r="W881" s="6" t="s">
        <v>93</v>
      </c>
      <c r="AB881" s="19" t="e">
        <f>+AB$889-V$889+#REF!</f>
        <v>#REF!</v>
      </c>
    </row>
    <row r="882" spans="1:29" x14ac:dyDescent="0.25">
      <c r="B882" s="111">
        <v>-1</v>
      </c>
      <c r="C882" s="9"/>
      <c r="D882" s="8"/>
      <c r="S882" s="6"/>
      <c r="T882" s="6"/>
      <c r="U882" s="6"/>
      <c r="V882" s="19">
        <f>+T13</f>
        <v>0</v>
      </c>
      <c r="W882" s="6" t="s">
        <v>114</v>
      </c>
      <c r="AB882" s="19" t="e">
        <f>+AB$889-V$889+#REF!</f>
        <v>#REF!</v>
      </c>
    </row>
    <row r="883" spans="1:29" x14ac:dyDescent="0.25">
      <c r="B883" s="111">
        <v>-1</v>
      </c>
      <c r="C883" s="9"/>
      <c r="D883" s="8"/>
      <c r="S883" s="6"/>
      <c r="T883" s="6"/>
      <c r="U883" s="6"/>
      <c r="V883" s="19">
        <f>T16</f>
        <v>1.18E-4</v>
      </c>
      <c r="W883" s="6" t="s">
        <v>121</v>
      </c>
      <c r="AB883" s="19"/>
    </row>
    <row r="884" spans="1:29" x14ac:dyDescent="0.25">
      <c r="B884" s="111">
        <v>-1</v>
      </c>
      <c r="C884" s="9"/>
      <c r="D884" s="8"/>
      <c r="S884" s="6"/>
      <c r="T884" s="6"/>
      <c r="U884" s="6"/>
      <c r="V884" s="27">
        <f>$T$19</f>
        <v>4.8799999999999999E-4</v>
      </c>
      <c r="W884" s="6" t="s">
        <v>140</v>
      </c>
      <c r="AB884" s="19"/>
    </row>
    <row r="885" spans="1:29" x14ac:dyDescent="0.25">
      <c r="B885" s="111">
        <v>-1</v>
      </c>
      <c r="C885" s="9"/>
      <c r="D885" s="8"/>
      <c r="S885" s="6"/>
      <c r="T885" s="6"/>
      <c r="U885" s="6"/>
      <c r="V885" s="27">
        <f>$T$21</f>
        <v>1.0330000000000001E-3</v>
      </c>
      <c r="W885" s="6" t="s">
        <v>93</v>
      </c>
      <c r="AB885" s="19"/>
    </row>
    <row r="886" spans="1:29" x14ac:dyDescent="0.25">
      <c r="B886" s="111">
        <v>-1</v>
      </c>
      <c r="C886" s="9"/>
      <c r="D886" s="8"/>
      <c r="S886" s="6"/>
      <c r="T886" s="6"/>
      <c r="U886" s="6"/>
      <c r="V886" s="27">
        <f>$T$23</f>
        <v>1.763E-3</v>
      </c>
      <c r="W886" s="6" t="s">
        <v>164</v>
      </c>
      <c r="AB886" s="19"/>
    </row>
    <row r="887" spans="1:29" x14ac:dyDescent="0.25">
      <c r="B887" s="111">
        <v>-1</v>
      </c>
      <c r="C887" s="9"/>
      <c r="D887" s="8"/>
      <c r="S887" s="6"/>
      <c r="T887" s="6"/>
      <c r="U887" s="6"/>
      <c r="V887" s="27">
        <f>$T$25</f>
        <v>0</v>
      </c>
      <c r="W887" s="6" t="s">
        <v>177</v>
      </c>
      <c r="AB887" s="19"/>
    </row>
    <row r="888" spans="1:29" x14ac:dyDescent="0.25">
      <c r="B888" s="111">
        <v>-1</v>
      </c>
      <c r="C888" s="9"/>
      <c r="D888" s="8"/>
      <c r="S888" s="6"/>
      <c r="T888" s="6"/>
      <c r="U888" s="6"/>
      <c r="V888" s="19">
        <f>T27</f>
        <v>3.6970000000000002E-3</v>
      </c>
      <c r="W888" s="6" t="s">
        <v>294</v>
      </c>
      <c r="AB888" s="19"/>
    </row>
    <row r="889" spans="1:29" x14ac:dyDescent="0.25">
      <c r="B889" s="111">
        <v>-1</v>
      </c>
      <c r="C889" s="9"/>
      <c r="D889" s="8"/>
      <c r="F889" s="82"/>
      <c r="G889" s="82"/>
      <c r="H889" s="82"/>
      <c r="I889" s="82"/>
      <c r="J889" s="84">
        <v>492.51</v>
      </c>
      <c r="K889" s="83">
        <v>3.4712E-2</v>
      </c>
      <c r="L889" s="84">
        <v>21.3</v>
      </c>
      <c r="M889" s="84">
        <v>21.3</v>
      </c>
      <c r="N889" s="84"/>
      <c r="O889" s="84"/>
      <c r="P889" s="84"/>
      <c r="Q889" s="84"/>
      <c r="R889" s="5"/>
      <c r="S889" s="27">
        <f>+S702</f>
        <v>3.0000000000000001E-3</v>
      </c>
      <c r="T889" s="27">
        <f>+T702</f>
        <v>-3.1020000000000002E-3</v>
      </c>
      <c r="U889" s="27">
        <f>+$S$28</f>
        <v>1.206E-3</v>
      </c>
      <c r="V889" s="27">
        <f t="shared" ref="V889:AA889" si="67">+V702</f>
        <v>6.1199999999999996E-3</v>
      </c>
      <c r="W889" s="27">
        <f t="shared" si="67"/>
        <v>0</v>
      </c>
      <c r="X889" s="27">
        <f t="shared" si="67"/>
        <v>5.3899999999999998E-4</v>
      </c>
      <c r="Y889" s="27">
        <f t="shared" si="67"/>
        <v>1.39E-3</v>
      </c>
      <c r="Z889" s="27">
        <f t="shared" si="67"/>
        <v>-9.7799999999999992E-4</v>
      </c>
      <c r="AA889" s="27">
        <f t="shared" si="67"/>
        <v>2.1900000000000001E-4</v>
      </c>
      <c r="AB889" s="19">
        <f>SUM(U889:Z889)</f>
        <v>8.2769999999999996E-3</v>
      </c>
    </row>
    <row r="890" spans="1:29" x14ac:dyDescent="0.25">
      <c r="A890" s="1"/>
      <c r="B890" s="111">
        <v>-1</v>
      </c>
      <c r="C890" s="9"/>
      <c r="D890" s="8"/>
      <c r="F890" s="82"/>
      <c r="G890" s="82"/>
      <c r="H890" s="82"/>
      <c r="I890" s="82"/>
      <c r="J890" s="82"/>
      <c r="K890" s="82"/>
      <c r="L890" s="85">
        <v>4000</v>
      </c>
      <c r="M890" s="82"/>
      <c r="N890" s="82"/>
      <c r="O890" s="82"/>
      <c r="P890" s="82"/>
      <c r="Q890" s="82"/>
    </row>
    <row r="891" spans="1:29" x14ac:dyDescent="0.25">
      <c r="B891" s="111">
        <v>-1</v>
      </c>
      <c r="C891" s="9"/>
      <c r="D891" s="8"/>
      <c r="F891" s="12"/>
      <c r="J891" s="12" t="s">
        <v>1</v>
      </c>
      <c r="K891" s="12" t="s">
        <v>31</v>
      </c>
      <c r="L891" s="256" t="s">
        <v>32</v>
      </c>
      <c r="M891" s="256"/>
      <c r="N891" s="12"/>
      <c r="O891" s="12"/>
      <c r="P891" s="12"/>
      <c r="Q891" s="73" t="s">
        <v>175</v>
      </c>
      <c r="R891" s="12" t="s">
        <v>33</v>
      </c>
      <c r="S891" s="12">
        <v>21</v>
      </c>
      <c r="T891" s="12">
        <v>6</v>
      </c>
      <c r="U891" s="12">
        <v>3</v>
      </c>
      <c r="V891" s="12">
        <v>22</v>
      </c>
      <c r="W891" s="12">
        <v>13</v>
      </c>
      <c r="X891" s="12">
        <v>20</v>
      </c>
      <c r="Y891" s="12">
        <v>24</v>
      </c>
      <c r="Z891" s="12">
        <v>25</v>
      </c>
      <c r="AA891" s="12">
        <v>26</v>
      </c>
    </row>
    <row r="892" spans="1:29" x14ac:dyDescent="0.25">
      <c r="A892" s="13"/>
      <c r="B892" s="111">
        <v>-1</v>
      </c>
      <c r="C892" s="122" t="s">
        <v>135</v>
      </c>
      <c r="D892" s="123" t="s">
        <v>136</v>
      </c>
      <c r="E892" s="157" t="s">
        <v>260</v>
      </c>
      <c r="F892" s="13" t="s">
        <v>4</v>
      </c>
      <c r="G892" s="13" t="s">
        <v>12</v>
      </c>
      <c r="H892" s="13" t="s">
        <v>13</v>
      </c>
      <c r="J892" s="13" t="s">
        <v>5</v>
      </c>
      <c r="K892" s="13" t="s">
        <v>5</v>
      </c>
      <c r="L892" s="13" t="s">
        <v>40</v>
      </c>
      <c r="M892" s="13" t="s">
        <v>41</v>
      </c>
      <c r="N892" s="73" t="s">
        <v>176</v>
      </c>
      <c r="O892" s="13"/>
      <c r="P892" s="13"/>
      <c r="Q892" s="13"/>
      <c r="R892" s="13" t="s">
        <v>35</v>
      </c>
      <c r="S892" s="13" t="s">
        <v>70</v>
      </c>
      <c r="T892" s="13" t="s">
        <v>9</v>
      </c>
      <c r="U892" s="80" t="s">
        <v>161</v>
      </c>
      <c r="V892" s="13" t="s">
        <v>79</v>
      </c>
      <c r="W892" s="13" t="s">
        <v>10</v>
      </c>
      <c r="X892" s="13" t="s">
        <v>11</v>
      </c>
      <c r="Y892" s="80" t="s">
        <v>104</v>
      </c>
      <c r="Z892" s="80" t="s">
        <v>105</v>
      </c>
      <c r="AA892" s="80" t="s">
        <v>106</v>
      </c>
      <c r="AB892" s="77" t="s">
        <v>71</v>
      </c>
    </row>
    <row r="893" spans="1:29" ht="13" x14ac:dyDescent="0.3">
      <c r="A893" s="49"/>
      <c r="B893" s="111">
        <v>-1</v>
      </c>
      <c r="D893" s="8"/>
      <c r="E893" s="9"/>
      <c r="F893" s="37"/>
      <c r="G893" s="12"/>
      <c r="H893" s="12"/>
      <c r="J893" s="12"/>
      <c r="K893" s="12"/>
      <c r="L893" s="12"/>
      <c r="M893" s="12"/>
      <c r="N893" s="12"/>
      <c r="O893" s="12"/>
      <c r="P893" s="12"/>
      <c r="Q893" s="12"/>
      <c r="R893" s="39" t="e">
        <f>VLOOKUP((D894),'Pwr Factor'!$A$1:$B$52,2)</f>
        <v>#N/A</v>
      </c>
      <c r="S893" s="51">
        <v>1</v>
      </c>
      <c r="T893" s="12"/>
      <c r="U893" s="12"/>
      <c r="V893" s="12"/>
      <c r="W893" s="12"/>
      <c r="X893" s="12"/>
      <c r="Y893" s="12"/>
      <c r="Z893" s="12"/>
      <c r="AA893" s="12"/>
    </row>
    <row r="894" spans="1:29" ht="13" x14ac:dyDescent="0.3">
      <c r="A894" s="1" t="s">
        <v>73</v>
      </c>
      <c r="B894" s="111">
        <f>IF(AND('AES Indiana Sep 23 Bill Calc.'!$D$17="HL3",'AES Indiana Sep 23 Bill Calc.'!$D$18="Yes 100%",'AES Indiana Sep 23 Bill Calc.'!$D$20="No"),'AES Indiana Sep 23 Bill Calc.'!$D$19,-1)</f>
        <v>-1</v>
      </c>
      <c r="C894" s="111">
        <f>MAX(E894,$C$701)</f>
        <v>2000</v>
      </c>
      <c r="D894" s="111" t="b">
        <f>IF(AND('AES Indiana Sep 23 Bill Calc.'!$D$17="HL3",'AES Indiana Sep 23 Bill Calc.'!$D$18="Yes 100%",'AES Indiana Sep 23 Bill Calc.'!$D$20="No"),'AES Indiana Sep 23 Bill Calc.'!$D$22)</f>
        <v>0</v>
      </c>
      <c r="E894" s="111" t="b">
        <f>IF(AND('AES Indiana Sep 23 Bill Calc.'!$D$17="HL3",'AES Indiana Sep 23 Bill Calc.'!$D$18="Yes 100%",'AES Indiana Sep 23 Bill Calc.'!$D$20="No"),'AES Indiana Sep 23 Bill Calc.'!$D$21)</f>
        <v>0</v>
      </c>
      <c r="F894" s="37" t="s">
        <v>54</v>
      </c>
      <c r="G894" s="113" t="e">
        <f>SUM(J894:M894,R894:AA894)</f>
        <v>#N/A</v>
      </c>
      <c r="H894" s="19" t="e">
        <f>IF(ISBLANK(B894),0,+#REF!/B894)</f>
        <v>#REF!</v>
      </c>
      <c r="J894" s="53">
        <f>IF(ISBLANK(B894),0,+J$889)</f>
        <v>492.51</v>
      </c>
      <c r="K894" s="17">
        <f>ROUND($B894*K$889,2)</f>
        <v>-0.03</v>
      </c>
      <c r="L894" s="17">
        <f>IF(ISBLANK($C894),0,IF($C894&lt;$C$890,ROUND($C$890*$L$889,2),IF($C894&gt;L$890,ROUND(L$890*L$889,2),ROUND($C894*L$889,2))))</f>
        <v>42600</v>
      </c>
      <c r="M894" s="17">
        <f>IF($C894&gt;L$890,ROUND(($C894-L$890)*M$889,2),0)</f>
        <v>0</v>
      </c>
      <c r="N894" s="17">
        <f>K894</f>
        <v>-0.03</v>
      </c>
      <c r="O894" s="17"/>
      <c r="P894" s="17"/>
      <c r="Q894" s="17">
        <f>SUM(L894:M894)</f>
        <v>42600</v>
      </c>
      <c r="R894" s="16" t="e">
        <f>ROUND(SUM(K894:M894)*(R893-1),2)</f>
        <v>#N/A</v>
      </c>
      <c r="S894" s="17">
        <f>ROUND($B894*S$889*S893,2)</f>
        <v>0</v>
      </c>
      <c r="T894" s="17">
        <f t="shared" ref="T894:AA894" si="68">ROUND($B894*T$889,2)</f>
        <v>0</v>
      </c>
      <c r="U894" s="17">
        <f t="shared" si="68"/>
        <v>0</v>
      </c>
      <c r="V894" s="8">
        <f t="shared" si="68"/>
        <v>-0.01</v>
      </c>
      <c r="W894" s="17">
        <f t="shared" si="68"/>
        <v>0</v>
      </c>
      <c r="X894" s="17">
        <f t="shared" si="68"/>
        <v>0</v>
      </c>
      <c r="Y894" s="17">
        <f t="shared" si="68"/>
        <v>0</v>
      </c>
      <c r="Z894" s="17">
        <f t="shared" si="68"/>
        <v>0</v>
      </c>
      <c r="AA894" s="17">
        <f t="shared" si="68"/>
        <v>0</v>
      </c>
      <c r="AB894" s="19">
        <f>SUM(U$889:AA$889)+(-V$889+V868)</f>
        <v>2.3760000000000005E-3</v>
      </c>
      <c r="AC894" s="78" t="str">
        <f>+F894</f>
        <v>HL3</v>
      </c>
    </row>
    <row r="895" spans="1:29" ht="13" x14ac:dyDescent="0.3">
      <c r="A895" s="9"/>
      <c r="B895" s="111">
        <v>-1</v>
      </c>
      <c r="D895" s="8"/>
      <c r="E895" s="9"/>
      <c r="F895" s="37"/>
      <c r="G895" s="12"/>
      <c r="H895" s="12"/>
      <c r="J895" s="12"/>
      <c r="K895" s="12"/>
      <c r="L895" s="12"/>
      <c r="M895" s="12"/>
      <c r="N895" s="12"/>
      <c r="O895" s="12"/>
      <c r="P895" s="12"/>
      <c r="Q895" s="12"/>
      <c r="R895" s="39" t="e">
        <f>VLOOKUP((D896),'Pwr Factor'!$A$1:$B$52,2)</f>
        <v>#N/A</v>
      </c>
      <c r="S895" s="51">
        <v>0.5</v>
      </c>
      <c r="T895" s="12"/>
      <c r="U895" s="12"/>
      <c r="V895" s="12"/>
      <c r="W895" s="12"/>
      <c r="X895" s="12"/>
      <c r="Y895" s="12"/>
      <c r="Z895" s="12"/>
      <c r="AA895" s="12"/>
    </row>
    <row r="896" spans="1:29" ht="13" x14ac:dyDescent="0.3">
      <c r="A896" s="57" t="s">
        <v>171</v>
      </c>
      <c r="B896" s="111">
        <f>IF(AND('AES Indiana Sep 23 Bill Calc.'!$D$17="HL3",'AES Indiana Sep 23 Bill Calc.'!$D$18="Yes 50%",'AES Indiana Sep 23 Bill Calc.'!$D$20="No"),'AES Indiana Sep 23 Bill Calc.'!$D$19,-1)</f>
        <v>-1</v>
      </c>
      <c r="C896" s="111">
        <f>MAX(E896,$C$701)</f>
        <v>2000</v>
      </c>
      <c r="D896" s="111" t="b">
        <f>IF(AND('AES Indiana Sep 23 Bill Calc.'!$D$17="HL3",'AES Indiana Sep 23 Bill Calc.'!$D$18="Yes 50%",'AES Indiana Sep 23 Bill Calc.'!$D$20="No"),'AES Indiana Sep 23 Bill Calc.'!$D$22)</f>
        <v>0</v>
      </c>
      <c r="E896" s="111" t="b">
        <f>IF(AND('AES Indiana Sep 23 Bill Calc.'!$D$17="HL3",'AES Indiana Sep 23 Bill Calc.'!$D$18="Yes 50%",'AES Indiana Sep 23 Bill Calc.'!$D$20="No"),'AES Indiana Sep 23 Bill Calc.'!$D$21)</f>
        <v>0</v>
      </c>
      <c r="F896" s="37" t="s">
        <v>54</v>
      </c>
      <c r="G896" s="113" t="e">
        <f>SUM(J896:M896,R896:AA896)</f>
        <v>#N/A</v>
      </c>
      <c r="H896" s="19" t="e">
        <f>IF(ISBLANK(B896),0,+#REF!/B896)</f>
        <v>#REF!</v>
      </c>
      <c r="J896" s="53">
        <f>IF(ISBLANK(B896),0,+J$889)</f>
        <v>492.51</v>
      </c>
      <c r="K896" s="17">
        <f>ROUND($B896*K$889,2)</f>
        <v>-0.03</v>
      </c>
      <c r="L896" s="17">
        <f>IF(ISBLANK($C896),0,IF($C896&lt;$C$890,ROUND($C$890*$L$889,2),IF($C896&gt;L$890,ROUND(L$890*L$889,2),ROUND($C896*L$889,2))))</f>
        <v>42600</v>
      </c>
      <c r="M896" s="17">
        <f>IF($C896&gt;L$890,ROUND(($C896-L$890)*M$889,2),0)</f>
        <v>0</v>
      </c>
      <c r="N896" s="17">
        <f>K896</f>
        <v>-0.03</v>
      </c>
      <c r="O896" s="17"/>
      <c r="P896" s="17"/>
      <c r="Q896" s="17">
        <f>SUM(L896:M896)</f>
        <v>42600</v>
      </c>
      <c r="R896" s="16" t="e">
        <f>ROUND(SUM(K896:M896)*(R895-1),2)</f>
        <v>#N/A</v>
      </c>
      <c r="S896" s="17">
        <f>ROUND($B896*S$889*S895,2)</f>
        <v>0</v>
      </c>
      <c r="T896" s="17">
        <f t="shared" ref="T896:AA896" si="69">ROUND($B896*T$889,2)</f>
        <v>0</v>
      </c>
      <c r="U896" s="17">
        <f t="shared" si="69"/>
        <v>0</v>
      </c>
      <c r="V896" s="8">
        <f t="shared" si="69"/>
        <v>-0.01</v>
      </c>
      <c r="W896" s="17">
        <f t="shared" si="69"/>
        <v>0</v>
      </c>
      <c r="X896" s="17">
        <f t="shared" si="69"/>
        <v>0</v>
      </c>
      <c r="Y896" s="17">
        <f t="shared" si="69"/>
        <v>0</v>
      </c>
      <c r="Z896" s="17">
        <f t="shared" si="69"/>
        <v>0</v>
      </c>
      <c r="AA896" s="17">
        <f t="shared" si="69"/>
        <v>0</v>
      </c>
      <c r="AB896" s="19">
        <f>SUM(U$889:AA$889)+(-V$889+V881)</f>
        <v>2.3760000000000005E-3</v>
      </c>
      <c r="AC896" s="78" t="str">
        <f>+F896</f>
        <v>HL3</v>
      </c>
    </row>
    <row r="897" spans="1:29" ht="13" x14ac:dyDescent="0.3">
      <c r="A897" s="9"/>
      <c r="B897" s="111">
        <v>-1</v>
      </c>
      <c r="D897" s="8"/>
      <c r="E897" s="9"/>
      <c r="F897" s="37"/>
      <c r="G897" s="12"/>
      <c r="H897" s="12"/>
      <c r="J897" s="12"/>
      <c r="K897" s="12"/>
      <c r="L897" s="12"/>
      <c r="M897" s="12"/>
      <c r="N897" s="12"/>
      <c r="O897" s="12"/>
      <c r="P897" s="12"/>
      <c r="Q897" s="12"/>
      <c r="R897" s="39" t="e">
        <f>VLOOKUP((D898),'Pwr Factor'!$A$1:$B$52,2)</f>
        <v>#N/A</v>
      </c>
      <c r="S897" s="51">
        <v>0.25</v>
      </c>
      <c r="T897" s="12"/>
      <c r="U897" s="12"/>
      <c r="V897" s="12"/>
      <c r="W897" s="12"/>
      <c r="X897" s="12"/>
      <c r="Y897" s="12"/>
      <c r="Z897" s="12"/>
      <c r="AA897" s="12"/>
    </row>
    <row r="898" spans="1:29" ht="13" x14ac:dyDescent="0.3">
      <c r="A898" s="57" t="s">
        <v>158</v>
      </c>
      <c r="B898" s="111">
        <f>IF(AND('AES Indiana Sep 23 Bill Calc.'!$D$17="HL3",'AES Indiana Sep 23 Bill Calc.'!$D$18="Yes 25%",'AES Indiana Sep 23 Bill Calc.'!$D$20="No"),'AES Indiana Sep 23 Bill Calc.'!$D$19,-1)</f>
        <v>-1</v>
      </c>
      <c r="C898" s="111">
        <f>MAX(E898,$C$701)</f>
        <v>2000</v>
      </c>
      <c r="D898" s="111" t="b">
        <f>IF(AND('AES Indiana Sep 23 Bill Calc.'!$D$17="HL3",'AES Indiana Sep 23 Bill Calc.'!$D$18="Yes 25%",'AES Indiana Sep 23 Bill Calc.'!$D$20="No"),'AES Indiana Sep 23 Bill Calc.'!$D$22)</f>
        <v>0</v>
      </c>
      <c r="E898" s="111" t="b">
        <f>IF(AND('AES Indiana Sep 23 Bill Calc.'!$D$17="HL3",'AES Indiana Sep 23 Bill Calc.'!$D$18="Yes 25%",'AES Indiana Sep 23 Bill Calc.'!$D$20="No"),'AES Indiana Sep 23 Bill Calc.'!$D$21)</f>
        <v>0</v>
      </c>
      <c r="F898" s="37" t="s">
        <v>54</v>
      </c>
      <c r="G898" s="113" t="e">
        <f>SUM(J898:M898,R898:AA898)</f>
        <v>#N/A</v>
      </c>
      <c r="H898" s="19" t="e">
        <f>IF(ISBLANK(B898),0,+#REF!/B898)</f>
        <v>#REF!</v>
      </c>
      <c r="J898" s="53">
        <f>IF(ISBLANK(B898),0,+J$889)</f>
        <v>492.51</v>
      </c>
      <c r="K898" s="17">
        <f>ROUND($B898*K$889,2)</f>
        <v>-0.03</v>
      </c>
      <c r="L898" s="17">
        <f>IF(ISBLANK($C898),0,IF($C898&lt;$C$890,ROUND($C$890*$L$889,2),IF($C898&gt;L$890,ROUND(L$890*L$889,2),ROUND($C898*L$889,2))))</f>
        <v>42600</v>
      </c>
      <c r="M898" s="17">
        <f>IF($C898&gt;L$890,ROUND(($C898-L$890)*M$889,2),0)</f>
        <v>0</v>
      </c>
      <c r="N898" s="17">
        <f>K898</f>
        <v>-0.03</v>
      </c>
      <c r="O898" s="17"/>
      <c r="P898" s="17"/>
      <c r="Q898" s="17">
        <f>SUM(L898:M898)</f>
        <v>42600</v>
      </c>
      <c r="R898" s="16" t="e">
        <f>ROUND(SUM(K898:M898)*(R897-1),2)</f>
        <v>#N/A</v>
      </c>
      <c r="S898" s="17">
        <f>ROUND($B898*S$889*S897,2)</f>
        <v>0</v>
      </c>
      <c r="T898" s="17">
        <f t="shared" ref="T898:AA898" si="70">ROUND($B898*T$889,2)</f>
        <v>0</v>
      </c>
      <c r="U898" s="17">
        <f t="shared" si="70"/>
        <v>0</v>
      </c>
      <c r="V898" s="8">
        <f t="shared" si="70"/>
        <v>-0.01</v>
      </c>
      <c r="W898" s="17">
        <f t="shared" si="70"/>
        <v>0</v>
      </c>
      <c r="X898" s="17">
        <f t="shared" si="70"/>
        <v>0</v>
      </c>
      <c r="Y898" s="17">
        <f t="shared" si="70"/>
        <v>0</v>
      </c>
      <c r="Z898" s="17">
        <f t="shared" si="70"/>
        <v>0</v>
      </c>
      <c r="AA898" s="17">
        <f t="shared" si="70"/>
        <v>0</v>
      </c>
      <c r="AB898" s="19" t="e">
        <f>SUM(U$889:AA$889)+(-V$889+#REF!)</f>
        <v>#REF!</v>
      </c>
      <c r="AC898" s="78" t="str">
        <f>+F898</f>
        <v>HL3</v>
      </c>
    </row>
    <row r="899" spans="1:29" ht="13" x14ac:dyDescent="0.3">
      <c r="A899" s="9"/>
      <c r="B899" s="111">
        <v>-1</v>
      </c>
      <c r="D899" s="8"/>
      <c r="E899" s="9"/>
      <c r="F899" s="37"/>
      <c r="G899" s="12"/>
      <c r="H899" s="12"/>
      <c r="J899" s="12"/>
      <c r="K899" s="12"/>
      <c r="L899" s="12"/>
      <c r="M899" s="12"/>
      <c r="N899" s="12"/>
      <c r="O899" s="12"/>
      <c r="P899" s="12"/>
      <c r="Q899" s="12"/>
      <c r="R899" s="39" t="e">
        <f>VLOOKUP((D900),'Pwr Factor'!$A$1:$B$52,2)</f>
        <v>#N/A</v>
      </c>
      <c r="S899" s="51">
        <v>0.1</v>
      </c>
      <c r="T899" s="12"/>
      <c r="U899" s="12"/>
      <c r="V899" s="12"/>
      <c r="W899" s="12"/>
      <c r="X899" s="12"/>
      <c r="Y899" s="12"/>
      <c r="Z899" s="12"/>
      <c r="AA899" s="12"/>
    </row>
    <row r="900" spans="1:29" ht="13" x14ac:dyDescent="0.3">
      <c r="A900" s="57" t="s">
        <v>173</v>
      </c>
      <c r="B900" s="111">
        <f>IF(AND('AES Indiana Sep 23 Bill Calc.'!$D$17="HL3",'AES Indiana Sep 23 Bill Calc.'!$D$18="Yes 10%",'AES Indiana Sep 23 Bill Calc.'!$D$20="No"),'AES Indiana Sep 23 Bill Calc.'!$D$19,-1)</f>
        <v>-1</v>
      </c>
      <c r="C900" s="111">
        <f>MAX(E900,$C$701)</f>
        <v>2000</v>
      </c>
      <c r="D900" s="111" t="b">
        <f>IF(AND('AES Indiana Sep 23 Bill Calc.'!$D$17="HL3",'AES Indiana Sep 23 Bill Calc.'!$D$18="Yes 10%",'AES Indiana Sep 23 Bill Calc.'!$D$20="No"),'AES Indiana Sep 23 Bill Calc.'!$D$22)</f>
        <v>0</v>
      </c>
      <c r="E900" s="111" t="b">
        <f>IF(AND('AES Indiana Sep 23 Bill Calc.'!$D$17="HL3",'AES Indiana Sep 23 Bill Calc.'!$D$18="Yes 10%",'AES Indiana Sep 23 Bill Calc.'!$D$20="No"),'AES Indiana Sep 23 Bill Calc.'!$D$21)</f>
        <v>0</v>
      </c>
      <c r="F900" s="37" t="s">
        <v>54</v>
      </c>
      <c r="G900" s="113" t="e">
        <f>SUM(J900:M900,R900:AA900)</f>
        <v>#N/A</v>
      </c>
      <c r="H900" s="19" t="e">
        <f>IF(ISBLANK(B900),0,+#REF!/B900)</f>
        <v>#REF!</v>
      </c>
      <c r="J900" s="53">
        <f>IF(ISBLANK(B900),0,+J$889)</f>
        <v>492.51</v>
      </c>
      <c r="K900" s="17">
        <f>ROUND($B900*K$889,2)</f>
        <v>-0.03</v>
      </c>
      <c r="L900" s="17">
        <f>IF(ISBLANK($C900),0,IF($C900&lt;$C$890,ROUND($C$890*$L$889,2),IF($C900&gt;L$890,ROUND(L$890*L$889,2),ROUND($C900*L$889,2))))</f>
        <v>42600</v>
      </c>
      <c r="M900" s="17">
        <f>IF($C900&gt;L$890,ROUND(($C900-L$890)*M$889,2),0)</f>
        <v>0</v>
      </c>
      <c r="N900" s="17">
        <f>K900</f>
        <v>-0.03</v>
      </c>
      <c r="O900" s="17"/>
      <c r="P900" s="17"/>
      <c r="Q900" s="17">
        <f>SUM(L900:M900)</f>
        <v>42600</v>
      </c>
      <c r="R900" s="16" t="e">
        <f>ROUND(SUM(K900:M900)*(R899-1),2)</f>
        <v>#N/A</v>
      </c>
      <c r="S900" s="17">
        <f>ROUND($B900*S$889*S899,2)</f>
        <v>0</v>
      </c>
      <c r="T900" s="17">
        <f t="shared" ref="T900:AA900" si="71">ROUND($B900*T$889,2)</f>
        <v>0</v>
      </c>
      <c r="U900" s="17">
        <f t="shared" si="71"/>
        <v>0</v>
      </c>
      <c r="V900" s="8">
        <f t="shared" si="71"/>
        <v>-0.01</v>
      </c>
      <c r="W900" s="17">
        <f t="shared" si="71"/>
        <v>0</v>
      </c>
      <c r="X900" s="17">
        <f t="shared" si="71"/>
        <v>0</v>
      </c>
      <c r="Y900" s="17">
        <f t="shared" si="71"/>
        <v>0</v>
      </c>
      <c r="Z900" s="17">
        <f t="shared" si="71"/>
        <v>0</v>
      </c>
      <c r="AA900" s="17">
        <f t="shared" si="71"/>
        <v>0</v>
      </c>
      <c r="AB900" s="19">
        <f>SUM(U$889:AA$889)+(-V$889+V883)</f>
        <v>2.4940000000000006E-3</v>
      </c>
      <c r="AC900" s="78" t="str">
        <f>+F900</f>
        <v>HL3</v>
      </c>
    </row>
    <row r="901" spans="1:29" ht="13" x14ac:dyDescent="0.3">
      <c r="A901" s="9"/>
      <c r="B901" s="111">
        <v>-1</v>
      </c>
      <c r="D901" s="8"/>
      <c r="E901" s="9"/>
      <c r="F901" s="37"/>
      <c r="G901" s="12"/>
      <c r="H901" s="12"/>
      <c r="J901" s="12"/>
      <c r="K901" s="12"/>
      <c r="L901" s="12"/>
      <c r="M901" s="12"/>
      <c r="N901" s="12"/>
      <c r="O901" s="12"/>
      <c r="P901" s="12"/>
      <c r="Q901" s="12"/>
      <c r="R901" s="39" t="e">
        <f>VLOOKUP((D902),'Pwr Factor'!$A$1:$B$52,2)</f>
        <v>#N/A</v>
      </c>
      <c r="S901" s="51">
        <v>0</v>
      </c>
      <c r="T901" s="12"/>
      <c r="U901" s="12"/>
      <c r="V901" s="12"/>
      <c r="W901" s="12"/>
      <c r="X901" s="12"/>
      <c r="Y901" s="12"/>
      <c r="Z901" s="12"/>
      <c r="AA901" s="12"/>
    </row>
    <row r="902" spans="1:29" ht="13" x14ac:dyDescent="0.3">
      <c r="A902" s="57" t="s">
        <v>172</v>
      </c>
      <c r="B902" s="111">
        <f>IF(AND('AES Indiana Sep 23 Bill Calc.'!$D$17="HL3",'AES Indiana Sep 23 Bill Calc.'!$D$18="No",'AES Indiana Sep 23 Bill Calc.'!$D$20="No"),'AES Indiana Sep 23 Bill Calc.'!$D$19,-1)</f>
        <v>-1</v>
      </c>
      <c r="C902" s="111">
        <f>MAX(E902,$C$701)</f>
        <v>2000</v>
      </c>
      <c r="D902" s="111" t="b">
        <f>IF(AND('AES Indiana Sep 23 Bill Calc.'!$D$17="HL3",'AES Indiana Sep 23 Bill Calc.'!$D$18="No",'AES Indiana Sep 23 Bill Calc.'!$D$20="No"),'AES Indiana Sep 23 Bill Calc.'!$D$22)</f>
        <v>0</v>
      </c>
      <c r="E902" s="111" t="b">
        <f>IF(AND('AES Indiana Sep 23 Bill Calc.'!$D$17="HL3",'AES Indiana Sep 23 Bill Calc.'!$D$18="No",'AES Indiana Sep 23 Bill Calc.'!$D$20="No"),'AES Indiana Sep 23 Bill Calc.'!$D$21)</f>
        <v>0</v>
      </c>
      <c r="F902" s="37" t="s">
        <v>54</v>
      </c>
      <c r="G902" s="113" t="e">
        <f>SUM(J902:M902,R902:AA902)</f>
        <v>#N/A</v>
      </c>
      <c r="H902" s="19" t="e">
        <f>IF(ISBLANK(B902),0,+#REF!/B902)</f>
        <v>#REF!</v>
      </c>
      <c r="J902" s="53">
        <f>IF(ISBLANK(B902),0,+J$889)</f>
        <v>492.51</v>
      </c>
      <c r="K902" s="17">
        <f>ROUND($B902*K$889,2)</f>
        <v>-0.03</v>
      </c>
      <c r="L902" s="17">
        <f>IF(ISBLANK($C902),0,IF($C902&lt;$C$890,ROUND($C$890*$L$889,2),IF($C902&gt;L$890,ROUND(L$890*L$889,2),ROUND($C902*L$889,2))))</f>
        <v>42600</v>
      </c>
      <c r="M902" s="17">
        <f>IF($C902&gt;L$890,ROUND(($C902-L$890)*M$889,2),0)</f>
        <v>0</v>
      </c>
      <c r="N902" s="17">
        <f>K902</f>
        <v>-0.03</v>
      </c>
      <c r="O902" s="17"/>
      <c r="P902" s="17"/>
      <c r="Q902" s="17">
        <f>SUM(L902:M902)</f>
        <v>42600</v>
      </c>
      <c r="R902" s="16" t="e">
        <f>ROUND(SUM(K902:M902)*(R901-1),2)</f>
        <v>#N/A</v>
      </c>
      <c r="S902" s="17">
        <f>ROUND($B902*S$889*S901,2)</f>
        <v>0</v>
      </c>
      <c r="T902" s="17">
        <f t="shared" ref="T902:AA902" si="72">ROUND($B902*T$889,2)</f>
        <v>0</v>
      </c>
      <c r="U902" s="17">
        <f t="shared" si="72"/>
        <v>0</v>
      </c>
      <c r="V902" s="8">
        <f t="shared" si="72"/>
        <v>-0.01</v>
      </c>
      <c r="W902" s="17">
        <f t="shared" si="72"/>
        <v>0</v>
      </c>
      <c r="X902" s="17">
        <f t="shared" si="72"/>
        <v>0</v>
      </c>
      <c r="Y902" s="17">
        <f t="shared" si="72"/>
        <v>0</v>
      </c>
      <c r="Z902" s="17">
        <f t="shared" si="72"/>
        <v>0</v>
      </c>
      <c r="AA902" s="17">
        <f t="shared" si="72"/>
        <v>0</v>
      </c>
      <c r="AB902" s="19">
        <f>SUM(U$889:AA$889)+(-V$889+V885)</f>
        <v>3.4090000000000006E-3</v>
      </c>
      <c r="AC902" s="78" t="str">
        <f>+F902</f>
        <v>HL3</v>
      </c>
    </row>
    <row r="903" spans="1:29" ht="13" x14ac:dyDescent="0.3">
      <c r="A903" s="49"/>
      <c r="B903" s="111">
        <v>-1</v>
      </c>
      <c r="D903" s="8"/>
      <c r="E903" s="9"/>
      <c r="F903" s="37"/>
      <c r="G903" s="12"/>
      <c r="H903" s="12"/>
      <c r="J903" s="12"/>
      <c r="K903" s="12"/>
      <c r="L903" s="12"/>
      <c r="M903" s="12"/>
      <c r="N903" s="12"/>
      <c r="O903" s="12"/>
      <c r="P903" s="12"/>
      <c r="Q903" s="12"/>
      <c r="R903" s="39" t="e">
        <f>VLOOKUP((D904),'Pwr Factor'!$A$1:$B$52,2)</f>
        <v>#N/A</v>
      </c>
      <c r="S903" s="51">
        <v>1</v>
      </c>
      <c r="T903" s="12"/>
      <c r="U903" s="12"/>
      <c r="V903" s="12"/>
      <c r="W903" s="12"/>
      <c r="X903" s="12"/>
      <c r="Y903" s="12"/>
      <c r="Z903" s="12"/>
      <c r="AA903" s="12"/>
    </row>
    <row r="904" spans="1:29" ht="13" x14ac:dyDescent="0.3">
      <c r="A904" s="1" t="s">
        <v>73</v>
      </c>
      <c r="B904" s="111">
        <f>IF(AND('AES Indiana Sep 23 Bill Calc.'!$D$17="HL3",'AES Indiana Sep 23 Bill Calc.'!$D$18="Yes 100%",'AES Indiana Sep 23 Bill Calc.'!$D$20="Yes Before 2018"),'AES Indiana Sep 23 Bill Calc.'!$D$19,-1)</f>
        <v>-1</v>
      </c>
      <c r="C904" s="111">
        <f>MAX(E904,$C$701)</f>
        <v>2000</v>
      </c>
      <c r="D904" s="111" t="b">
        <f>IF(AND('AES Indiana Sep 23 Bill Calc.'!$D$17="HL3",'AES Indiana Sep 23 Bill Calc.'!$D$18="Yes 100%",'AES Indiana Sep 23 Bill Calc.'!$D$20="Yes Before 2018"),'AES Indiana Sep 23 Bill Calc.'!$D$22)</f>
        <v>0</v>
      </c>
      <c r="E904" s="111" t="b">
        <f>IF(AND('AES Indiana Sep 23 Bill Calc.'!$D$17="HL3",'AES Indiana Sep 23 Bill Calc.'!$D$18="Yes 100%",'AES Indiana Sep 23 Bill Calc.'!$D$20="Yes Before 2018"),'AES Indiana Sep 23 Bill Calc.'!$D$21)</f>
        <v>0</v>
      </c>
      <c r="F904" s="37" t="s">
        <v>118</v>
      </c>
      <c r="G904" s="113" t="e">
        <f>SUM(J904:M904,R904:AA904)</f>
        <v>#N/A</v>
      </c>
      <c r="H904" s="19" t="e">
        <f>IF(ISBLANK(B904),0,+#REF!/B904)</f>
        <v>#REF!</v>
      </c>
      <c r="J904" s="53">
        <f>IF(ISBLANK(B904),0,+J$889)</f>
        <v>492.51</v>
      </c>
      <c r="K904" s="17">
        <f>ROUND($B904*K$889,2)</f>
        <v>-0.03</v>
      </c>
      <c r="L904" s="17">
        <f>IF(ISBLANK($C904),0,IF($C904&lt;$C$890,ROUND($C$890*$L$889,2),IF($C904&gt;L$890,ROUND(L$890*L$889,2),ROUND($C904*L$889,2))))</f>
        <v>42600</v>
      </c>
      <c r="M904" s="17">
        <f>IF($C904&gt;L$890,ROUND(($C904-L$890)*M$889,2),0)</f>
        <v>0</v>
      </c>
      <c r="N904" s="17">
        <f>K904</f>
        <v>-0.03</v>
      </c>
      <c r="O904" s="17"/>
      <c r="P904" s="17"/>
      <c r="Q904" s="17">
        <f>SUM(L904:M904)</f>
        <v>42600</v>
      </c>
      <c r="R904" s="16" t="e">
        <f>ROUND(SUM(K904:M904)*(R903-1),2)</f>
        <v>#N/A</v>
      </c>
      <c r="S904" s="17">
        <f>ROUND($B904*S$889*S903,2)</f>
        <v>0</v>
      </c>
      <c r="T904" s="17">
        <f>ROUND($B904*T$889,2)</f>
        <v>0</v>
      </c>
      <c r="U904" s="17">
        <f>ROUND($B904*U$889,2)</f>
        <v>0</v>
      </c>
      <c r="V904" s="8">
        <f>ROUND($B904*V$882,2)</f>
        <v>0</v>
      </c>
      <c r="W904" s="17">
        <f>ROUND($B904*W$889,2)</f>
        <v>0</v>
      </c>
      <c r="X904" s="17">
        <f>ROUND($B904*X$889,2)</f>
        <v>0</v>
      </c>
      <c r="Y904" s="17">
        <f>ROUND($B904*Y$889,2)</f>
        <v>0</v>
      </c>
      <c r="Z904" s="17">
        <f>ROUND($B904*Z$889,2)</f>
        <v>0</v>
      </c>
      <c r="AA904" s="17">
        <f>ROUND($B904*AA$889,2)</f>
        <v>0</v>
      </c>
      <c r="AB904" s="19">
        <f>SUM(U$889:AA$889)+(-V$889+V887)</f>
        <v>2.3760000000000005E-3</v>
      </c>
      <c r="AC904" s="78" t="str">
        <f>+F904</f>
        <v>HL37</v>
      </c>
    </row>
    <row r="905" spans="1:29" ht="13" x14ac:dyDescent="0.3">
      <c r="A905" s="9"/>
      <c r="B905" s="111">
        <v>-1</v>
      </c>
      <c r="D905" s="8"/>
      <c r="E905" s="9"/>
      <c r="F905" s="37"/>
      <c r="G905" s="12"/>
      <c r="H905" s="12"/>
      <c r="J905" s="12"/>
      <c r="K905" s="12"/>
      <c r="L905" s="12"/>
      <c r="M905" s="12"/>
      <c r="N905" s="12"/>
      <c r="O905" s="12"/>
      <c r="P905" s="12"/>
      <c r="Q905" s="12"/>
      <c r="R905" s="39" t="e">
        <f>VLOOKUP((D906),'Pwr Factor'!$A$1:$B$52,2)</f>
        <v>#N/A</v>
      </c>
      <c r="S905" s="51">
        <v>0.5</v>
      </c>
      <c r="T905" s="12"/>
      <c r="U905" s="12"/>
      <c r="V905" s="12"/>
      <c r="W905" s="12"/>
      <c r="X905" s="12"/>
      <c r="Y905" s="12"/>
      <c r="Z905" s="12"/>
      <c r="AA905" s="12"/>
    </row>
    <row r="906" spans="1:29" ht="13" x14ac:dyDescent="0.3">
      <c r="A906" s="57" t="s">
        <v>171</v>
      </c>
      <c r="B906" s="111">
        <f>IF(AND('AES Indiana Sep 23 Bill Calc.'!$D$17="HL3",'AES Indiana Sep 23 Bill Calc.'!$D$18="Yes 50%",'AES Indiana Sep 23 Bill Calc.'!$D$20="Yes Before 2018"),'AES Indiana Sep 23 Bill Calc.'!$D$19,-1)</f>
        <v>-1</v>
      </c>
      <c r="C906" s="111">
        <f>MAX(E906,$C$701)</f>
        <v>2000</v>
      </c>
      <c r="D906" s="111" t="b">
        <f>IF(AND('AES Indiana Sep 23 Bill Calc.'!$D$17="HL3",'AES Indiana Sep 23 Bill Calc.'!$D$18="Yes 50%",'AES Indiana Sep 23 Bill Calc.'!$D$20="Yes Before 2018"),'AES Indiana Sep 23 Bill Calc.'!$D$22)</f>
        <v>0</v>
      </c>
      <c r="E906" s="111" t="b">
        <f>IF(AND('AES Indiana Sep 23 Bill Calc.'!$D$17="HL3",'AES Indiana Sep 23 Bill Calc.'!$D$18="Yes 50%",'AES Indiana Sep 23 Bill Calc.'!$D$20="Yes Before 2018"),'AES Indiana Sep 23 Bill Calc.'!$D$21)</f>
        <v>0</v>
      </c>
      <c r="F906" s="37" t="s">
        <v>118</v>
      </c>
      <c r="G906" s="113" t="e">
        <f>SUM(J906:M906,R906:AA906)</f>
        <v>#N/A</v>
      </c>
      <c r="H906" s="19" t="e">
        <f>IF(ISBLANK(B906),0,+#REF!/B906)</f>
        <v>#REF!</v>
      </c>
      <c r="J906" s="53">
        <f>IF(ISBLANK(B906),0,+J$889)</f>
        <v>492.51</v>
      </c>
      <c r="K906" s="17">
        <f>ROUND($B906*K$889,2)</f>
        <v>-0.03</v>
      </c>
      <c r="L906" s="17">
        <f>IF(ISBLANK($C906),0,IF($C906&lt;$C$890,ROUND($C$890*$L$889,2),IF($C906&gt;L$890,ROUND(L$890*L$889,2),ROUND($C906*L$889,2))))</f>
        <v>42600</v>
      </c>
      <c r="M906" s="17">
        <f>IF($C906&gt;L$890,ROUND(($C906-L$890)*M$889,2),0)</f>
        <v>0</v>
      </c>
      <c r="N906" s="17">
        <f>K906</f>
        <v>-0.03</v>
      </c>
      <c r="O906" s="17"/>
      <c r="P906" s="17"/>
      <c r="Q906" s="17">
        <f>SUM(L906:M906)</f>
        <v>42600</v>
      </c>
      <c r="R906" s="16" t="e">
        <f>ROUND(SUM(K906:M906)*(R905-1),2)</f>
        <v>#N/A</v>
      </c>
      <c r="S906" s="17">
        <f>ROUND($B906*S$889*S905,2)</f>
        <v>0</v>
      </c>
      <c r="T906" s="17">
        <f>ROUND($B906*T$889,2)</f>
        <v>0</v>
      </c>
      <c r="U906" s="17">
        <f>ROUND($B906*U$889,2)</f>
        <v>0</v>
      </c>
      <c r="V906" s="8">
        <f>ROUND($B906*V$882,2)</f>
        <v>0</v>
      </c>
      <c r="W906" s="17">
        <f>ROUND($B906*W$889,2)</f>
        <v>0</v>
      </c>
      <c r="X906" s="17">
        <f>ROUND($B906*X$889,2)</f>
        <v>0</v>
      </c>
      <c r="Y906" s="17">
        <f>ROUND($B906*Y$889,2)</f>
        <v>0</v>
      </c>
      <c r="Z906" s="17">
        <f>ROUND($B906*Z$889,2)</f>
        <v>0</v>
      </c>
      <c r="AA906" s="17">
        <f>ROUND($B906*AA$889,2)</f>
        <v>0</v>
      </c>
      <c r="AB906" s="19">
        <f>SUM(U$889:AA$889)+(-V$889+V890)</f>
        <v>2.3760000000000005E-3</v>
      </c>
      <c r="AC906" s="78" t="str">
        <f>+F906</f>
        <v>HL37</v>
      </c>
    </row>
    <row r="907" spans="1:29" ht="13" x14ac:dyDescent="0.3">
      <c r="A907" s="9"/>
      <c r="B907" s="111">
        <v>-1</v>
      </c>
      <c r="D907" s="8"/>
      <c r="E907" s="9"/>
      <c r="F907" s="37"/>
      <c r="G907" s="12"/>
      <c r="H907" s="12"/>
      <c r="J907" s="12"/>
      <c r="K907" s="12"/>
      <c r="L907" s="12"/>
      <c r="M907" s="12"/>
      <c r="N907" s="12"/>
      <c r="O907" s="12"/>
      <c r="P907" s="12"/>
      <c r="Q907" s="12"/>
      <c r="R907" s="39" t="e">
        <f>VLOOKUP((D908),'Pwr Factor'!$A$1:$B$52,2)</f>
        <v>#N/A</v>
      </c>
      <c r="S907" s="51">
        <v>0.25</v>
      </c>
      <c r="T907" s="12"/>
      <c r="U907" s="12"/>
      <c r="V907" s="12"/>
      <c r="W907" s="12"/>
      <c r="X907" s="12"/>
      <c r="Y907" s="12"/>
      <c r="Z907" s="12"/>
      <c r="AA907" s="12"/>
    </row>
    <row r="908" spans="1:29" ht="13" x14ac:dyDescent="0.3">
      <c r="A908" s="57" t="s">
        <v>158</v>
      </c>
      <c r="B908" s="111">
        <f>IF(AND('AES Indiana Sep 23 Bill Calc.'!$D$17="HL3",'AES Indiana Sep 23 Bill Calc.'!$D$18="Yes 25%",'AES Indiana Sep 23 Bill Calc.'!$D$20="Yes Before 2018"),'AES Indiana Sep 23 Bill Calc.'!$D$19,-1)</f>
        <v>-1</v>
      </c>
      <c r="C908" s="111">
        <f>MAX(E908,$C$701)</f>
        <v>2000</v>
      </c>
      <c r="D908" s="111" t="b">
        <f>IF(AND('AES Indiana Sep 23 Bill Calc.'!$D$17="HL3",'AES Indiana Sep 23 Bill Calc.'!$D$18="Yes 25%",'AES Indiana Sep 23 Bill Calc.'!$D$20="Yes Before 2018"),'AES Indiana Sep 23 Bill Calc.'!$D$22)</f>
        <v>0</v>
      </c>
      <c r="E908" s="111" t="b">
        <f>IF(AND('AES Indiana Sep 23 Bill Calc.'!$D$17="HL3",'AES Indiana Sep 23 Bill Calc.'!$D$18="Yes 25%",'AES Indiana Sep 23 Bill Calc.'!$D$20="Yes Before 2018"),'AES Indiana Sep 23 Bill Calc.'!$D$21)</f>
        <v>0</v>
      </c>
      <c r="F908" s="37" t="s">
        <v>118</v>
      </c>
      <c r="G908" s="113" t="e">
        <f>SUM(J908:M908,R908:AA908)</f>
        <v>#N/A</v>
      </c>
      <c r="H908" s="19" t="e">
        <f>IF(ISBLANK(B908),0,+#REF!/B908)</f>
        <v>#REF!</v>
      </c>
      <c r="J908" s="53">
        <f>IF(ISBLANK(B908),0,+J$889)</f>
        <v>492.51</v>
      </c>
      <c r="K908" s="17">
        <f>ROUND($B908*K$889,2)</f>
        <v>-0.03</v>
      </c>
      <c r="L908" s="17">
        <f>IF(ISBLANK($C908),0,IF($C908&lt;$C$890,ROUND($C$890*$L$889,2),IF($C908&gt;L$890,ROUND(L$890*L$889,2),ROUND($C908*L$889,2))))</f>
        <v>42600</v>
      </c>
      <c r="M908" s="17">
        <f>IF($C908&gt;L$890,ROUND(($C908-L$890)*M$889,2),0)</f>
        <v>0</v>
      </c>
      <c r="N908" s="17">
        <f>K908</f>
        <v>-0.03</v>
      </c>
      <c r="O908" s="17"/>
      <c r="P908" s="17"/>
      <c r="Q908" s="17">
        <f>SUM(L908:M908)</f>
        <v>42600</v>
      </c>
      <c r="R908" s="16" t="e">
        <f>ROUND(SUM(K908:M908)*(R907-1),2)</f>
        <v>#N/A</v>
      </c>
      <c r="S908" s="17">
        <f>ROUND($B908*S$889*S907,2)</f>
        <v>0</v>
      </c>
      <c r="T908" s="17">
        <f>ROUND($B908*T$889,2)</f>
        <v>0</v>
      </c>
      <c r="U908" s="17">
        <f>ROUND($B908*U$889,2)</f>
        <v>0</v>
      </c>
      <c r="V908" s="8">
        <f>ROUND($B908*V$882,2)</f>
        <v>0</v>
      </c>
      <c r="W908" s="17">
        <f>ROUND($B908*W$889,2)</f>
        <v>0</v>
      </c>
      <c r="X908" s="17">
        <f>ROUND($B908*X$889,2)</f>
        <v>0</v>
      </c>
      <c r="Y908" s="17">
        <f>ROUND($B908*Y$889,2)</f>
        <v>0</v>
      </c>
      <c r="Z908" s="17">
        <f>ROUND($B908*Z$889,2)</f>
        <v>0</v>
      </c>
      <c r="AA908" s="17">
        <f>ROUND($B908*AA$889,2)</f>
        <v>0</v>
      </c>
      <c r="AB908" s="19" t="e">
        <f>SUM(U$889:AA$889)+(-V$889+V892)</f>
        <v>#VALUE!</v>
      </c>
      <c r="AC908" s="78" t="str">
        <f>+F908</f>
        <v>HL37</v>
      </c>
    </row>
    <row r="909" spans="1:29" ht="13" x14ac:dyDescent="0.3">
      <c r="A909" s="9"/>
      <c r="B909" s="111">
        <v>-1</v>
      </c>
      <c r="D909" s="8"/>
      <c r="E909" s="9"/>
      <c r="F909" s="37"/>
      <c r="G909" s="12"/>
      <c r="H909" s="12"/>
      <c r="J909" s="12"/>
      <c r="K909" s="12"/>
      <c r="L909" s="12"/>
      <c r="M909" s="12"/>
      <c r="N909" s="12"/>
      <c r="O909" s="12"/>
      <c r="P909" s="12"/>
      <c r="Q909" s="12"/>
      <c r="R909" s="39" t="e">
        <f>VLOOKUP((D910),'Pwr Factor'!$A$1:$B$52,2)</f>
        <v>#N/A</v>
      </c>
      <c r="S909" s="51">
        <v>0.1</v>
      </c>
      <c r="T909" s="12"/>
      <c r="U909" s="12"/>
      <c r="V909" s="12"/>
      <c r="W909" s="12"/>
      <c r="X909" s="12"/>
      <c r="Y909" s="12"/>
      <c r="Z909" s="12"/>
      <c r="AA909" s="12"/>
    </row>
    <row r="910" spans="1:29" ht="13" x14ac:dyDescent="0.3">
      <c r="A910" s="57" t="s">
        <v>173</v>
      </c>
      <c r="B910" s="111">
        <f>IF(AND('AES Indiana Sep 23 Bill Calc.'!$D$17="HL3",'AES Indiana Sep 23 Bill Calc.'!$D$18="Yes 10%",'AES Indiana Sep 23 Bill Calc.'!$D$20="Yes Before 2018"),'AES Indiana Sep 23 Bill Calc.'!$D$19,-1)</f>
        <v>-1</v>
      </c>
      <c r="C910" s="111">
        <f>MAX(E910,$C$701)</f>
        <v>2000</v>
      </c>
      <c r="D910" s="111" t="b">
        <f>IF(AND('AES Indiana Sep 23 Bill Calc.'!$D$17="HL3",'AES Indiana Sep 23 Bill Calc.'!$D$18="Yes 10%",'AES Indiana Sep 23 Bill Calc.'!$D$20="Yes Before 2018"),'AES Indiana Sep 23 Bill Calc.'!$D$22)</f>
        <v>0</v>
      </c>
      <c r="E910" s="111" t="b">
        <f>IF(AND('AES Indiana Sep 23 Bill Calc.'!$D$17="HL3",'AES Indiana Sep 23 Bill Calc.'!$D$18="Yes 10%",'AES Indiana Sep 23 Bill Calc.'!$D$20="Yes Before 2018"),'AES Indiana Sep 23 Bill Calc.'!$D$21)</f>
        <v>0</v>
      </c>
      <c r="F910" s="37" t="s">
        <v>118</v>
      </c>
      <c r="G910" s="113" t="e">
        <f>SUM(J910:M910,R910:AA910)</f>
        <v>#N/A</v>
      </c>
      <c r="H910" s="19" t="e">
        <f>IF(ISBLANK(B910),0,+#REF!/B910)</f>
        <v>#REF!</v>
      </c>
      <c r="J910" s="53">
        <f>IF(ISBLANK(B910),0,+J$889)</f>
        <v>492.51</v>
      </c>
      <c r="K910" s="17">
        <f>ROUND($B910*K$889,2)</f>
        <v>-0.03</v>
      </c>
      <c r="L910" s="17">
        <f>IF(ISBLANK($C910),0,IF($C910&lt;$C$890,ROUND($C$890*$L$889,2),IF($C910&gt;L$890,ROUND(L$890*L$889,2),ROUND($C910*L$889,2))))</f>
        <v>42600</v>
      </c>
      <c r="M910" s="17">
        <f>IF($C910&gt;L$890,ROUND(($C910-L$890)*M$889,2),0)</f>
        <v>0</v>
      </c>
      <c r="N910" s="17">
        <f>K910</f>
        <v>-0.03</v>
      </c>
      <c r="O910" s="17"/>
      <c r="P910" s="17"/>
      <c r="Q910" s="17">
        <f>SUM(L910:M910)</f>
        <v>42600</v>
      </c>
      <c r="R910" s="16" t="e">
        <f>ROUND(SUM(K910:M910)*(R909-1),2)</f>
        <v>#N/A</v>
      </c>
      <c r="S910" s="17">
        <f>ROUND($B910*S$889*S909,2)</f>
        <v>0</v>
      </c>
      <c r="T910" s="17">
        <f>ROUND($B910*T$889,2)</f>
        <v>0</v>
      </c>
      <c r="U910" s="17">
        <f>ROUND($B910*U$889,2)</f>
        <v>0</v>
      </c>
      <c r="V910" s="8">
        <f>ROUND($B910*V$882,2)</f>
        <v>0</v>
      </c>
      <c r="W910" s="17">
        <f>ROUND($B910*W$889,2)</f>
        <v>0</v>
      </c>
      <c r="X910" s="17">
        <f>ROUND($B910*X$889,2)</f>
        <v>0</v>
      </c>
      <c r="Y910" s="17">
        <f>ROUND($B910*Y$889,2)</f>
        <v>0</v>
      </c>
      <c r="Z910" s="17">
        <f>ROUND($B910*Z$889,2)</f>
        <v>0</v>
      </c>
      <c r="AA910" s="17">
        <f>ROUND($B910*AA$889,2)</f>
        <v>0</v>
      </c>
      <c r="AB910" s="19">
        <f>SUM(U$889:AA$889)+(-V$889+V894)</f>
        <v>-7.6239999999999988E-3</v>
      </c>
      <c r="AC910" s="78" t="str">
        <f>+F910</f>
        <v>HL37</v>
      </c>
    </row>
    <row r="911" spans="1:29" ht="13" x14ac:dyDescent="0.3">
      <c r="A911" s="9"/>
      <c r="B911" s="111">
        <v>-1</v>
      </c>
      <c r="D911" s="8"/>
      <c r="E911" s="9"/>
      <c r="F911" s="37"/>
      <c r="G911" s="12"/>
      <c r="H911" s="12"/>
      <c r="J911" s="12"/>
      <c r="K911" s="12"/>
      <c r="L911" s="12"/>
      <c r="M911" s="12"/>
      <c r="N911" s="12"/>
      <c r="O911" s="12"/>
      <c r="P911" s="12"/>
      <c r="Q911" s="12"/>
      <c r="R911" s="39" t="e">
        <f>VLOOKUP((D912),'Pwr Factor'!$A$1:$B$52,2)</f>
        <v>#N/A</v>
      </c>
      <c r="S911" s="51">
        <v>0</v>
      </c>
      <c r="T911" s="12"/>
      <c r="U911" s="12"/>
      <c r="V911" s="12"/>
      <c r="W911" s="12"/>
      <c r="X911" s="12"/>
      <c r="Y911" s="12"/>
      <c r="Z911" s="12"/>
      <c r="AA911" s="12"/>
    </row>
    <row r="912" spans="1:29" ht="13" x14ac:dyDescent="0.3">
      <c r="A912" s="57" t="s">
        <v>172</v>
      </c>
      <c r="B912" s="111">
        <f>IF(AND('AES Indiana Sep 23 Bill Calc.'!$D$17="HL3",'AES Indiana Sep 23 Bill Calc.'!$D$18="No",'AES Indiana Sep 23 Bill Calc.'!$D$20="Yes Before 2018"),'AES Indiana Sep 23 Bill Calc.'!$D$19,-1)</f>
        <v>-1</v>
      </c>
      <c r="C912" s="111">
        <f>MAX(E912,$C$701)</f>
        <v>2000</v>
      </c>
      <c r="D912" s="111" t="b">
        <f>IF(AND('AES Indiana Sep 23 Bill Calc.'!$D$17="HL3",'AES Indiana Sep 23 Bill Calc.'!$D$18="No",'AES Indiana Sep 23 Bill Calc.'!$D$20="Yes Before 2018"),'AES Indiana Sep 23 Bill Calc.'!$D$22)</f>
        <v>0</v>
      </c>
      <c r="E912" s="111" t="b">
        <f>IF(AND('AES Indiana Sep 23 Bill Calc.'!$D$17="HL3",'AES Indiana Sep 23 Bill Calc.'!$D$18="No",'AES Indiana Sep 23 Bill Calc.'!$D$20="Yes Before 2018"),'AES Indiana Sep 23 Bill Calc.'!$D$21)</f>
        <v>0</v>
      </c>
      <c r="F912" s="37" t="s">
        <v>118</v>
      </c>
      <c r="G912" s="113" t="e">
        <f>SUM(J912:M912,R912:AA912)</f>
        <v>#N/A</v>
      </c>
      <c r="H912" s="19" t="e">
        <f>IF(ISBLANK(B912),0,+#REF!/B912)</f>
        <v>#REF!</v>
      </c>
      <c r="J912" s="53">
        <f>IF(ISBLANK(B912),0,+J$889)</f>
        <v>492.51</v>
      </c>
      <c r="K912" s="17">
        <f>ROUND($B912*K$889,2)</f>
        <v>-0.03</v>
      </c>
      <c r="L912" s="17">
        <f>IF(ISBLANK($C912),0,IF($C912&lt;$C$890,ROUND($C$890*$L$889,2),IF($C912&gt;L$890,ROUND(L$890*L$889,2),ROUND($C912*L$889,2))))</f>
        <v>42600</v>
      </c>
      <c r="M912" s="17">
        <f>IF($C912&gt;L$890,ROUND(($C912-L$890)*M$889,2),0)</f>
        <v>0</v>
      </c>
      <c r="N912" s="17">
        <f>K912</f>
        <v>-0.03</v>
      </c>
      <c r="O912" s="17"/>
      <c r="P912" s="17"/>
      <c r="Q912" s="17">
        <f>SUM(L912:M912)</f>
        <v>42600</v>
      </c>
      <c r="R912" s="16" t="e">
        <f>ROUND(SUM(K912:M912)*(R911-1),2)</f>
        <v>#N/A</v>
      </c>
      <c r="S912" s="17">
        <f>ROUND($B912*S$889*S911,2)</f>
        <v>0</v>
      </c>
      <c r="T912" s="17">
        <f>ROUND($B912*T$889,2)</f>
        <v>0</v>
      </c>
      <c r="U912" s="17">
        <f>ROUND($B912*U$889,2)</f>
        <v>0</v>
      </c>
      <c r="V912" s="8">
        <f>ROUND($B912*V$882,2)</f>
        <v>0</v>
      </c>
      <c r="W912" s="17">
        <f>ROUND($B912*W$889,2)</f>
        <v>0</v>
      </c>
      <c r="X912" s="17">
        <f>ROUND($B912*X$889,2)</f>
        <v>0</v>
      </c>
      <c r="Y912" s="17">
        <f>ROUND($B912*Y$889,2)</f>
        <v>0</v>
      </c>
      <c r="Z912" s="17">
        <f>ROUND($B912*Z$889,2)</f>
        <v>0</v>
      </c>
      <c r="AA912" s="17">
        <f>ROUND($B912*AA$889,2)</f>
        <v>0</v>
      </c>
      <c r="AB912" s="19">
        <f>SUM(U$889:AA$889)+(-V$889+V896)</f>
        <v>-7.6239999999999988E-3</v>
      </c>
      <c r="AC912" s="78" t="str">
        <f>+F912</f>
        <v>HL37</v>
      </c>
    </row>
    <row r="913" spans="1:29" ht="13" x14ac:dyDescent="0.3">
      <c r="A913" s="49"/>
      <c r="B913" s="111">
        <v>-1</v>
      </c>
      <c r="D913" s="8"/>
      <c r="E913" s="9"/>
      <c r="F913" s="37"/>
      <c r="G913" s="12"/>
      <c r="H913" s="12"/>
      <c r="J913" s="12"/>
      <c r="K913" s="12"/>
      <c r="L913" s="12"/>
      <c r="M913" s="12"/>
      <c r="N913" s="12"/>
      <c r="O913" s="12"/>
      <c r="P913" s="12"/>
      <c r="Q913" s="12"/>
      <c r="R913" s="39" t="e">
        <f>VLOOKUP((D914),'Pwr Factor'!$A$1:$B$52,2)</f>
        <v>#N/A</v>
      </c>
      <c r="S913" s="51">
        <v>1</v>
      </c>
      <c r="T913" s="12"/>
      <c r="U913" s="12"/>
      <c r="V913" s="12"/>
      <c r="W913" s="12"/>
      <c r="X913" s="12"/>
      <c r="Y913" s="12"/>
      <c r="Z913" s="12"/>
      <c r="AA913" s="12"/>
    </row>
    <row r="914" spans="1:29" ht="13" x14ac:dyDescent="0.3">
      <c r="A914" s="1" t="s">
        <v>73</v>
      </c>
      <c r="B914" s="111">
        <f>IF(AND('AES Indiana Sep 23 Bill Calc.'!$D$17="HL3",'AES Indiana Sep 23 Bill Calc.'!$D$18="Yes 100%",'AES Indiana Sep 23 Bill Calc.'!$D$20="Yes 2018"),'AES Indiana Sep 23 Bill Calc.'!$D$19,-1)</f>
        <v>-1</v>
      </c>
      <c r="C914" s="111">
        <f>MAX(E914,$C$701)</f>
        <v>2000</v>
      </c>
      <c r="D914" s="111" t="b">
        <f>IF(AND('AES Indiana Sep 23 Bill Calc.'!$D$17="HL3",'AES Indiana Sep 23 Bill Calc.'!$D$18="Yes 100%",'AES Indiana Sep 23 Bill Calc.'!$D$20="Yes 2018"),'AES Indiana Sep 23 Bill Calc.'!$D$22)</f>
        <v>0</v>
      </c>
      <c r="E914" s="111" t="b">
        <f>IF(AND('AES Indiana Sep 23 Bill Calc.'!$D$17="HL3",'AES Indiana Sep 23 Bill Calc.'!$D$18="Yes 100%",'AES Indiana Sep 23 Bill Calc.'!$D$20="Yes 2018"),'AES Indiana Sep 23 Bill Calc.'!$D$21)</f>
        <v>0</v>
      </c>
      <c r="F914" s="37" t="s">
        <v>133</v>
      </c>
      <c r="G914" s="113" t="e">
        <f>SUM(J914:M914,R914:AA914)</f>
        <v>#N/A</v>
      </c>
      <c r="H914" s="19" t="e">
        <f>IF(ISBLANK(B914),0,+#REF!/B914)</f>
        <v>#REF!</v>
      </c>
      <c r="J914" s="53">
        <f>IF(ISBLANK(B914),0,+J$889)</f>
        <v>492.51</v>
      </c>
      <c r="K914" s="17">
        <f>ROUND($B914*K$889,2)</f>
        <v>-0.03</v>
      </c>
      <c r="L914" s="17">
        <f>IF(ISBLANK($C914),0,IF($C914&lt;$C$890,ROUND($C$890*$L$889,2),IF($C914&gt;L$890,ROUND(L$890*L$889,2),ROUND($C914*L$889,2))))</f>
        <v>42600</v>
      </c>
      <c r="M914" s="17">
        <f>IF($C914&gt;L$890,ROUND(($C914-L$890)*M$889,2),0)</f>
        <v>0</v>
      </c>
      <c r="N914" s="17">
        <f>K914</f>
        <v>-0.03</v>
      </c>
      <c r="O914" s="17"/>
      <c r="P914" s="17"/>
      <c r="Q914" s="17">
        <f>SUM(L914:M914)</f>
        <v>42600</v>
      </c>
      <c r="R914" s="16" t="e">
        <f>ROUND(SUM(K914:M914)*(R913-1),2)</f>
        <v>#N/A</v>
      </c>
      <c r="S914" s="17">
        <f>ROUND($B914*S$889*S913,2)</f>
        <v>0</v>
      </c>
      <c r="T914" s="17">
        <f>ROUND($B914*T$889,2)</f>
        <v>0</v>
      </c>
      <c r="U914" s="17">
        <f>ROUND($B914*U$889,2)</f>
        <v>0</v>
      </c>
      <c r="V914" s="8">
        <f>ROUND($B914*V$883,2)</f>
        <v>0</v>
      </c>
      <c r="W914" s="17">
        <f>ROUND($B914*W$889,2)</f>
        <v>0</v>
      </c>
      <c r="X914" s="17">
        <f>ROUND($B914*X$889,2)</f>
        <v>0</v>
      </c>
      <c r="Y914" s="17">
        <f>ROUND($B914*Y$889,2)</f>
        <v>0</v>
      </c>
      <c r="Z914" s="17">
        <f>ROUND($B914*Z$889,2)</f>
        <v>0</v>
      </c>
      <c r="AA914" s="17">
        <f>ROUND($B914*AA$889,2)</f>
        <v>0</v>
      </c>
      <c r="AB914" s="19">
        <f>SUM(U$889:AA$889)+(-V$889+V898)</f>
        <v>-7.6239999999999988E-3</v>
      </c>
      <c r="AC914" s="78" t="str">
        <f>+F914</f>
        <v>HL38</v>
      </c>
    </row>
    <row r="915" spans="1:29" ht="13" x14ac:dyDescent="0.3">
      <c r="A915" s="49"/>
      <c r="B915" s="111">
        <v>-1</v>
      </c>
      <c r="D915" s="8"/>
      <c r="E915" s="9"/>
      <c r="F915" s="37"/>
      <c r="G915" s="12"/>
      <c r="H915" s="12"/>
      <c r="J915" s="12"/>
      <c r="K915" s="12"/>
      <c r="L915" s="12"/>
      <c r="M915" s="12"/>
      <c r="N915" s="12"/>
      <c r="O915" s="12"/>
      <c r="P915" s="12"/>
      <c r="Q915" s="12"/>
      <c r="R915" s="39" t="e">
        <f>VLOOKUP((D916),'Pwr Factor'!$A$1:$B$52,2)</f>
        <v>#N/A</v>
      </c>
      <c r="S915" s="51">
        <v>0.5</v>
      </c>
      <c r="T915" s="12"/>
      <c r="U915" s="12"/>
      <c r="V915" s="12"/>
      <c r="W915" s="12"/>
      <c r="X915" s="12"/>
      <c r="Y915" s="12"/>
      <c r="Z915" s="12"/>
      <c r="AA915" s="12"/>
    </row>
    <row r="916" spans="1:29" ht="13" x14ac:dyDescent="0.3">
      <c r="A916" s="57" t="s">
        <v>171</v>
      </c>
      <c r="B916" s="111">
        <f>IF(AND('AES Indiana Sep 23 Bill Calc.'!$D$17="HL3",'AES Indiana Sep 23 Bill Calc.'!$D$18="Yes 50%",'AES Indiana Sep 23 Bill Calc.'!$D$20="Yes 2018"),'AES Indiana Sep 23 Bill Calc.'!$D$19,-1)</f>
        <v>-1</v>
      </c>
      <c r="C916" s="111">
        <f>MAX(E916,$C$701)</f>
        <v>2000</v>
      </c>
      <c r="D916" s="111" t="b">
        <f>IF(AND('AES Indiana Sep 23 Bill Calc.'!$D$17="HL3",'AES Indiana Sep 23 Bill Calc.'!$D$18="Yes 50%",'AES Indiana Sep 23 Bill Calc.'!$D$20="Yes 2018"),'AES Indiana Sep 23 Bill Calc.'!$D$22)</f>
        <v>0</v>
      </c>
      <c r="E916" s="111" t="b">
        <f>IF(AND('AES Indiana Sep 23 Bill Calc.'!$D$17="HL3",'AES Indiana Sep 23 Bill Calc.'!$D$18="Yes 50%",'AES Indiana Sep 23 Bill Calc.'!$D$20="Yes 2018"),'AES Indiana Sep 23 Bill Calc.'!$D$21)</f>
        <v>0</v>
      </c>
      <c r="F916" s="37" t="s">
        <v>133</v>
      </c>
      <c r="G916" s="113" t="e">
        <f>SUM(J916:M916,R916:AA916)</f>
        <v>#N/A</v>
      </c>
      <c r="H916" s="19" t="e">
        <f>IF(ISBLANK(B916),0,+#REF!/B916)</f>
        <v>#REF!</v>
      </c>
      <c r="J916" s="53">
        <f>IF(ISBLANK(B916),0,+J$889)</f>
        <v>492.51</v>
      </c>
      <c r="K916" s="17">
        <f>ROUND($B916*K$889,2)</f>
        <v>-0.03</v>
      </c>
      <c r="L916" s="17">
        <f>IF(ISBLANK($C916),0,IF($C916&lt;$C$890,ROUND($C$890*$L$889,2),IF($C916&gt;L$890,ROUND(L$890*L$889,2),ROUND($C916*L$889,2))))</f>
        <v>42600</v>
      </c>
      <c r="M916" s="17">
        <f>IF($C916&gt;L$890,ROUND(($C916-L$890)*M$889,2),0)</f>
        <v>0</v>
      </c>
      <c r="N916" s="17">
        <f>K916</f>
        <v>-0.03</v>
      </c>
      <c r="O916" s="17"/>
      <c r="P916" s="17"/>
      <c r="Q916" s="17">
        <f>SUM(L916:M916)</f>
        <v>42600</v>
      </c>
      <c r="R916" s="16" t="e">
        <f>ROUND(SUM(K916:M916)*(R915-1),2)</f>
        <v>#N/A</v>
      </c>
      <c r="S916" s="17">
        <f>ROUND($B916*S$889*S915,2)</f>
        <v>0</v>
      </c>
      <c r="T916" s="17">
        <f>ROUND($B916*T$889,2)</f>
        <v>0</v>
      </c>
      <c r="U916" s="17">
        <f>ROUND($B916*U$889,2)</f>
        <v>0</v>
      </c>
      <c r="V916" s="8">
        <f>ROUND($B916*V$883,2)</f>
        <v>0</v>
      </c>
      <c r="W916" s="17">
        <f>ROUND($B916*W$889,2)</f>
        <v>0</v>
      </c>
      <c r="X916" s="17">
        <f>ROUND($B916*X$889,2)</f>
        <v>0</v>
      </c>
      <c r="Y916" s="17">
        <f>ROUND($B916*Y$889,2)</f>
        <v>0</v>
      </c>
      <c r="Z916" s="17">
        <f>ROUND($B916*Z$889,2)</f>
        <v>0</v>
      </c>
      <c r="AA916" s="17">
        <f>ROUND($B916*AA$889,2)</f>
        <v>0</v>
      </c>
      <c r="AB916" s="19">
        <f>SUM(U$889:AA$889)+(-V$889+V900)</f>
        <v>-7.6239999999999988E-3</v>
      </c>
      <c r="AC916" s="78" t="str">
        <f>+F916</f>
        <v>HL38</v>
      </c>
    </row>
    <row r="917" spans="1:29" ht="13" x14ac:dyDescent="0.3">
      <c r="A917" s="9"/>
      <c r="B917" s="111">
        <v>-1</v>
      </c>
      <c r="D917" s="8"/>
      <c r="E917" s="9"/>
      <c r="F917" s="37"/>
      <c r="G917" s="12"/>
      <c r="H917" s="12"/>
      <c r="J917" s="12"/>
      <c r="K917" s="12"/>
      <c r="L917" s="12"/>
      <c r="M917" s="12"/>
      <c r="N917" s="12"/>
      <c r="O917" s="12"/>
      <c r="P917" s="12"/>
      <c r="Q917" s="12"/>
      <c r="R917" s="39" t="e">
        <f>VLOOKUP((D918),'Pwr Factor'!$A$1:$B$52,2)</f>
        <v>#N/A</v>
      </c>
      <c r="S917" s="51">
        <v>0.25</v>
      </c>
      <c r="T917" s="12"/>
      <c r="U917" s="12"/>
      <c r="V917" s="12"/>
      <c r="W917" s="12"/>
      <c r="X917" s="12"/>
      <c r="Y917" s="12"/>
      <c r="Z917" s="12"/>
      <c r="AA917" s="12"/>
    </row>
    <row r="918" spans="1:29" ht="13" x14ac:dyDescent="0.3">
      <c r="A918" s="57" t="s">
        <v>158</v>
      </c>
      <c r="B918" s="111">
        <f>IF(AND('AES Indiana Sep 23 Bill Calc.'!$D$17="HL3",'AES Indiana Sep 23 Bill Calc.'!$D$18="Yes 25%",'AES Indiana Sep 23 Bill Calc.'!$D$20="Yes 2018"),'AES Indiana Sep 23 Bill Calc.'!$D$19,-1)</f>
        <v>-1</v>
      </c>
      <c r="C918" s="111">
        <f>MAX(E918,$C$701)</f>
        <v>2000</v>
      </c>
      <c r="D918" s="111" t="b">
        <f>IF(AND('AES Indiana Sep 23 Bill Calc.'!$D$17="HL3",'AES Indiana Sep 23 Bill Calc.'!$D$18="Yes 25%",'AES Indiana Sep 23 Bill Calc.'!$D$20="Yes 2018"),'AES Indiana Sep 23 Bill Calc.'!$D$22)</f>
        <v>0</v>
      </c>
      <c r="E918" s="111" t="b">
        <f>IF(AND('AES Indiana Sep 23 Bill Calc.'!$D$17="HL3",'AES Indiana Sep 23 Bill Calc.'!$D$18="Yes 25%",'AES Indiana Sep 23 Bill Calc.'!$D$20="Yes 2018"),'AES Indiana Sep 23 Bill Calc.'!$D$21)</f>
        <v>0</v>
      </c>
      <c r="F918" s="37" t="s">
        <v>133</v>
      </c>
      <c r="G918" s="113" t="e">
        <f>SUM(J918:M918,R918:AA918)</f>
        <v>#N/A</v>
      </c>
      <c r="H918" s="19" t="e">
        <f>IF(ISBLANK(B918),0,+#REF!/B918)</f>
        <v>#REF!</v>
      </c>
      <c r="J918" s="53">
        <f>IF(ISBLANK(B918),0,+J$889)</f>
        <v>492.51</v>
      </c>
      <c r="K918" s="17">
        <f>ROUND($B918*K$889,2)</f>
        <v>-0.03</v>
      </c>
      <c r="L918" s="17">
        <f>IF(ISBLANK($C918),0,IF($C918&lt;$C$890,ROUND($C$890*$L$889,2),IF($C918&gt;L$890,ROUND(L$890*L$889,2),ROUND($C918*L$889,2))))</f>
        <v>42600</v>
      </c>
      <c r="M918" s="17">
        <f>IF($C918&gt;L$890,ROUND(($C918-L$890)*M$889,2),0)</f>
        <v>0</v>
      </c>
      <c r="N918" s="17">
        <f>K918</f>
        <v>-0.03</v>
      </c>
      <c r="O918" s="17"/>
      <c r="P918" s="17"/>
      <c r="Q918" s="17">
        <f>SUM(L918:M918)</f>
        <v>42600</v>
      </c>
      <c r="R918" s="16" t="e">
        <f>ROUND(SUM(K918:M918)*(R917-1),2)</f>
        <v>#N/A</v>
      </c>
      <c r="S918" s="17">
        <f>ROUND($B918*S$889*S917,2)</f>
        <v>0</v>
      </c>
      <c r="T918" s="17">
        <f>ROUND($B918*T$889,2)</f>
        <v>0</v>
      </c>
      <c r="U918" s="17">
        <f>ROUND($B918*U$889,2)</f>
        <v>0</v>
      </c>
      <c r="V918" s="8">
        <f>ROUND($B918*V$883,2)</f>
        <v>0</v>
      </c>
      <c r="W918" s="17">
        <f>ROUND($B918*W$889,2)</f>
        <v>0</v>
      </c>
      <c r="X918" s="17">
        <f>ROUND($B918*X$889,2)</f>
        <v>0</v>
      </c>
      <c r="Y918" s="17">
        <f>ROUND($B918*Y$889,2)</f>
        <v>0</v>
      </c>
      <c r="Z918" s="17">
        <f>ROUND($B918*Z$889,2)</f>
        <v>0</v>
      </c>
      <c r="AA918" s="17">
        <f>ROUND($B918*AA$889,2)</f>
        <v>0</v>
      </c>
      <c r="AB918" s="19">
        <f>SUM(U$889:AA$889)+(-V$889+V902)</f>
        <v>-7.6239999999999988E-3</v>
      </c>
      <c r="AC918" s="78" t="str">
        <f>+F918</f>
        <v>HL38</v>
      </c>
    </row>
    <row r="919" spans="1:29" ht="13" x14ac:dyDescent="0.3">
      <c r="A919" s="9"/>
      <c r="B919" s="111">
        <v>-1</v>
      </c>
      <c r="D919" s="8"/>
      <c r="E919" s="9"/>
      <c r="F919" s="37"/>
      <c r="G919" s="12"/>
      <c r="H919" s="12"/>
      <c r="J919" s="12"/>
      <c r="K919" s="12"/>
      <c r="L919" s="12"/>
      <c r="M919" s="12"/>
      <c r="N919" s="12"/>
      <c r="O919" s="12"/>
      <c r="P919" s="12"/>
      <c r="Q919" s="12"/>
      <c r="R919" s="39" t="e">
        <f>VLOOKUP((D920),'Pwr Factor'!$A$1:$B$52,2)</f>
        <v>#N/A</v>
      </c>
      <c r="S919" s="51">
        <v>0.1</v>
      </c>
      <c r="T919" s="12"/>
      <c r="U919" s="12"/>
      <c r="V919" s="12"/>
      <c r="W919" s="12"/>
      <c r="X919" s="12"/>
      <c r="Y919" s="12"/>
      <c r="Z919" s="12"/>
      <c r="AA919" s="12"/>
    </row>
    <row r="920" spans="1:29" ht="13" x14ac:dyDescent="0.3">
      <c r="A920" s="57" t="s">
        <v>173</v>
      </c>
      <c r="B920" s="111">
        <f>IF(AND('AES Indiana Sep 23 Bill Calc.'!$D$17="HL3",'AES Indiana Sep 23 Bill Calc.'!$D$18="Yes 10%",'AES Indiana Sep 23 Bill Calc.'!$D$20="Yes 2018"),'AES Indiana Sep 23 Bill Calc.'!$D$19,-1)</f>
        <v>-1</v>
      </c>
      <c r="C920" s="111">
        <f>MAX(E920,$C$701)</f>
        <v>2000</v>
      </c>
      <c r="D920" s="111" t="b">
        <f>IF(AND('AES Indiana Sep 23 Bill Calc.'!$D$17="HL3",'AES Indiana Sep 23 Bill Calc.'!$D$18="Yes 10%",'AES Indiana Sep 23 Bill Calc.'!$D$20="Yes 2018"),'AES Indiana Sep 23 Bill Calc.'!$D$22)</f>
        <v>0</v>
      </c>
      <c r="E920" s="111" t="b">
        <f>IF(AND('AES Indiana Sep 23 Bill Calc.'!$D$17="HL3",'AES Indiana Sep 23 Bill Calc.'!$D$18="Yes 10%",'AES Indiana Sep 23 Bill Calc.'!$D$20="Yes 2018"),'AES Indiana Sep 23 Bill Calc.'!$D$21)</f>
        <v>0</v>
      </c>
      <c r="F920" s="37" t="s">
        <v>133</v>
      </c>
      <c r="G920" s="113" t="e">
        <f>SUM(J920:M920,R920:AA920)</f>
        <v>#N/A</v>
      </c>
      <c r="H920" s="19" t="e">
        <f>IF(ISBLANK(B920),0,+#REF!/B920)</f>
        <v>#REF!</v>
      </c>
      <c r="J920" s="53">
        <f>IF(ISBLANK(B920),0,+J$889)</f>
        <v>492.51</v>
      </c>
      <c r="K920" s="17">
        <f>ROUND($B920*K$889,2)</f>
        <v>-0.03</v>
      </c>
      <c r="L920" s="17">
        <f>IF(ISBLANK($C920),0,IF($C920&lt;$C$890,ROUND($C$890*$L$889,2),IF($C920&gt;L$890,ROUND(L$890*L$889,2),ROUND($C920*L$889,2))))</f>
        <v>42600</v>
      </c>
      <c r="M920" s="17">
        <f>IF($C920&gt;L$890,ROUND(($C920-L$890)*M$889,2),0)</f>
        <v>0</v>
      </c>
      <c r="N920" s="17">
        <f>K920</f>
        <v>-0.03</v>
      </c>
      <c r="O920" s="17"/>
      <c r="P920" s="17"/>
      <c r="Q920" s="17">
        <f>SUM(L920:M920)</f>
        <v>42600</v>
      </c>
      <c r="R920" s="16" t="e">
        <f>ROUND(SUM(K920:M920)*(R919-1),2)</f>
        <v>#N/A</v>
      </c>
      <c r="S920" s="17">
        <f>ROUND($B920*S$889*S919,2)</f>
        <v>0</v>
      </c>
      <c r="T920" s="17">
        <f>ROUND($B920*T$889,2)</f>
        <v>0</v>
      </c>
      <c r="U920" s="17">
        <f>ROUND($B920*U$889,2)</f>
        <v>0</v>
      </c>
      <c r="V920" s="8">
        <f>ROUND($B920*V$883,2)</f>
        <v>0</v>
      </c>
      <c r="W920" s="17">
        <f>ROUND($B920*W$889,2)</f>
        <v>0</v>
      </c>
      <c r="X920" s="17">
        <f>ROUND($B920*X$889,2)</f>
        <v>0</v>
      </c>
      <c r="Y920" s="17">
        <f>ROUND($B920*Y$889,2)</f>
        <v>0</v>
      </c>
      <c r="Z920" s="17">
        <f>ROUND($B920*Z$889,2)</f>
        <v>0</v>
      </c>
      <c r="AA920" s="17">
        <f>ROUND($B920*AA$889,2)</f>
        <v>0</v>
      </c>
      <c r="AB920" s="19">
        <f>SUM(U$889:AA$889)+(-V$889+V904)</f>
        <v>2.3760000000000005E-3</v>
      </c>
      <c r="AC920" s="78" t="str">
        <f>+F920</f>
        <v>HL38</v>
      </c>
    </row>
    <row r="921" spans="1:29" ht="13" x14ac:dyDescent="0.3">
      <c r="A921" s="9"/>
      <c r="B921" s="111">
        <v>-1</v>
      </c>
      <c r="D921" s="8"/>
      <c r="E921" s="9"/>
      <c r="F921" s="37"/>
      <c r="G921" s="12"/>
      <c r="H921" s="12"/>
      <c r="J921" s="12"/>
      <c r="K921" s="12"/>
      <c r="L921" s="12"/>
      <c r="M921" s="12"/>
      <c r="N921" s="12"/>
      <c r="O921" s="12"/>
      <c r="P921" s="12"/>
      <c r="Q921" s="12"/>
      <c r="R921" s="39" t="e">
        <f>VLOOKUP((D922),'Pwr Factor'!$A$1:$B$52,2)</f>
        <v>#N/A</v>
      </c>
      <c r="S921" s="51">
        <v>0</v>
      </c>
      <c r="T921" s="12"/>
      <c r="U921" s="12"/>
      <c r="V921" s="12"/>
      <c r="W921" s="12"/>
      <c r="X921" s="12"/>
      <c r="Y921" s="12"/>
      <c r="Z921" s="12"/>
      <c r="AA921" s="12"/>
    </row>
    <row r="922" spans="1:29" ht="13" x14ac:dyDescent="0.3">
      <c r="A922" s="57" t="s">
        <v>172</v>
      </c>
      <c r="B922" s="111">
        <f>IF(AND('AES Indiana Sep 23 Bill Calc.'!$D$17="HL3",'AES Indiana Sep 23 Bill Calc.'!$D$18="No",'AES Indiana Sep 23 Bill Calc.'!$D$20="Yes 2018"),'AES Indiana Sep 23 Bill Calc.'!$D$19,-1)</f>
        <v>-1</v>
      </c>
      <c r="C922" s="111">
        <f>MAX(E922,$C$701)</f>
        <v>2000</v>
      </c>
      <c r="D922" s="111" t="b">
        <f>IF(AND('AES Indiana Sep 23 Bill Calc.'!$D$17="HL3",'AES Indiana Sep 23 Bill Calc.'!$D$18="No",'AES Indiana Sep 23 Bill Calc.'!$D$20="Yes 2018"),'AES Indiana Sep 23 Bill Calc.'!$D$22)</f>
        <v>0</v>
      </c>
      <c r="E922" s="111" t="b">
        <f>IF(AND('AES Indiana Sep 23 Bill Calc.'!$D$17="HL3",'AES Indiana Sep 23 Bill Calc.'!$D$18="No",'AES Indiana Sep 23 Bill Calc.'!$D$20="Yes 2018"),'AES Indiana Sep 23 Bill Calc.'!$D$21)</f>
        <v>0</v>
      </c>
      <c r="F922" s="37" t="s">
        <v>133</v>
      </c>
      <c r="G922" s="113" t="e">
        <f>SUM(J922:M922,R922:AA922)</f>
        <v>#N/A</v>
      </c>
      <c r="H922" s="19" t="e">
        <f>IF(ISBLANK(B922),0,+#REF!/B922)</f>
        <v>#REF!</v>
      </c>
      <c r="J922" s="53">
        <f>IF(ISBLANK(B922),0,+J$889)</f>
        <v>492.51</v>
      </c>
      <c r="K922" s="17">
        <f>ROUND($B922*K$889,2)</f>
        <v>-0.03</v>
      </c>
      <c r="L922" s="17">
        <f>IF(ISBLANK($C922),0,IF($C922&lt;$C$890,ROUND($C$890*$L$889,2),IF($C922&gt;L$890,ROUND(L$890*L$889,2),ROUND($C922*L$889,2))))</f>
        <v>42600</v>
      </c>
      <c r="M922" s="17">
        <f>IF($C922&gt;L$890,ROUND(($C922-L$890)*M$889,2),0)</f>
        <v>0</v>
      </c>
      <c r="N922" s="17">
        <f>K922</f>
        <v>-0.03</v>
      </c>
      <c r="O922" s="17"/>
      <c r="P922" s="17"/>
      <c r="Q922" s="17">
        <f>SUM(L922:M922)</f>
        <v>42600</v>
      </c>
      <c r="R922" s="16" t="e">
        <f>ROUND(SUM(K922:M922)*(R921-1),2)</f>
        <v>#N/A</v>
      </c>
      <c r="S922" s="17">
        <f>ROUND($B922*S$889*S921,2)</f>
        <v>0</v>
      </c>
      <c r="T922" s="17">
        <f>ROUND($B922*T$889,2)</f>
        <v>0</v>
      </c>
      <c r="U922" s="17">
        <f>ROUND($B922*U$889,2)</f>
        <v>0</v>
      </c>
      <c r="V922" s="8">
        <f>ROUND($B922*V$883,2)</f>
        <v>0</v>
      </c>
      <c r="W922" s="17">
        <f>ROUND($B922*W$889,2)</f>
        <v>0</v>
      </c>
      <c r="X922" s="17">
        <f>ROUND($B922*X$889,2)</f>
        <v>0</v>
      </c>
      <c r="Y922" s="17">
        <f>ROUND($B922*Y$889,2)</f>
        <v>0</v>
      </c>
      <c r="Z922" s="17">
        <f>ROUND($B922*Z$889,2)</f>
        <v>0</v>
      </c>
      <c r="AA922" s="17">
        <f>ROUND($B922*AA$889,2)</f>
        <v>0</v>
      </c>
      <c r="AB922" s="19">
        <f>SUM(U$889:AA$889)+(-V$889+V906)</f>
        <v>2.3760000000000005E-3</v>
      </c>
      <c r="AC922" s="78" t="str">
        <f>+F922</f>
        <v>HL38</v>
      </c>
    </row>
    <row r="923" spans="1:29" ht="13" x14ac:dyDescent="0.3">
      <c r="A923" s="49"/>
      <c r="B923" s="111">
        <v>-1</v>
      </c>
      <c r="D923" s="8"/>
      <c r="E923" s="9"/>
      <c r="F923" s="37"/>
      <c r="G923" s="12"/>
      <c r="H923" s="12"/>
      <c r="J923" s="12"/>
      <c r="K923" s="12"/>
      <c r="L923" s="12"/>
      <c r="M923" s="12"/>
      <c r="N923" s="12"/>
      <c r="O923" s="12"/>
      <c r="P923" s="12"/>
      <c r="Q923" s="12"/>
      <c r="R923" s="39" t="e">
        <f>VLOOKUP((D924),'Pwr Factor'!$A$1:$B$52,2)</f>
        <v>#N/A</v>
      </c>
      <c r="S923" s="51">
        <v>1</v>
      </c>
      <c r="T923" s="12"/>
      <c r="U923" s="12"/>
      <c r="V923" s="12"/>
      <c r="W923" s="12"/>
      <c r="X923" s="12"/>
      <c r="Y923" s="12"/>
      <c r="Z923" s="12"/>
      <c r="AA923" s="12"/>
    </row>
    <row r="924" spans="1:29" ht="13" x14ac:dyDescent="0.3">
      <c r="A924" s="1" t="s">
        <v>73</v>
      </c>
      <c r="B924" s="111">
        <f>IF(AND('AES Indiana Sep 23 Bill Calc.'!$D$17="HL3",'AES Indiana Sep 23 Bill Calc.'!$D$18="Yes 100%",'AES Indiana Sep 23 Bill Calc.'!$D$20="Yes 2019"),'AES Indiana Sep 23 Bill Calc.'!$D$19,-1)</f>
        <v>-1</v>
      </c>
      <c r="C924" s="111">
        <f>MAX(E924,$C$701)</f>
        <v>2000</v>
      </c>
      <c r="D924" s="111" t="b">
        <f>IF(AND('AES Indiana Sep 23 Bill Calc.'!$D$17="HL3",'AES Indiana Sep 23 Bill Calc.'!$D$18="Yes 100%",'AES Indiana Sep 23 Bill Calc.'!$D$20="Yes 2019"),'AES Indiana Sep 23 Bill Calc.'!$D$22)</f>
        <v>0</v>
      </c>
      <c r="E924" s="111" t="b">
        <f>IF(AND('AES Indiana Sep 23 Bill Calc.'!$D$17="HL3",'AES Indiana Sep 23 Bill Calc.'!$D$18="Yes 100%",'AES Indiana Sep 23 Bill Calc.'!$D$20="Yes 2019"),'AES Indiana Sep 23 Bill Calc.'!$D$21)</f>
        <v>0</v>
      </c>
      <c r="F924" s="37" t="s">
        <v>155</v>
      </c>
      <c r="G924" s="113" t="e">
        <f>SUM(J924:M924,R924:AA924)</f>
        <v>#N/A</v>
      </c>
      <c r="H924" s="19" t="e">
        <f>IF(ISBLANK(B924),0,+#REF!/B924)</f>
        <v>#REF!</v>
      </c>
      <c r="J924" s="53">
        <f>IF(ISBLANK(B924),0,+J$889)</f>
        <v>492.51</v>
      </c>
      <c r="K924" s="17">
        <f>ROUND($B924*K$889,2)</f>
        <v>-0.03</v>
      </c>
      <c r="L924" s="17">
        <f>IF(ISBLANK($C924),0,IF($C924&lt;$C$890,ROUND($C$890*$L$889,2),IF($C924&gt;L$890,ROUND(L$890*L$889,2),ROUND($C924*L$889,2))))</f>
        <v>42600</v>
      </c>
      <c r="M924" s="17">
        <f>IF($C924&gt;L$890,ROUND(($C924-L$890)*M$889,2),0)</f>
        <v>0</v>
      </c>
      <c r="N924" s="17">
        <f>K924</f>
        <v>-0.03</v>
      </c>
      <c r="O924" s="17"/>
      <c r="P924" s="17"/>
      <c r="Q924" s="17">
        <f>SUM(L924:M924)</f>
        <v>42600</v>
      </c>
      <c r="R924" s="16" t="e">
        <f>ROUND(SUM(K924:M924)*(R923-1),2)</f>
        <v>#N/A</v>
      </c>
      <c r="S924" s="17">
        <f>ROUND($B924*S$889*S923,2)</f>
        <v>0</v>
      </c>
      <c r="T924" s="17">
        <f>ROUND($B924*T$889,2)</f>
        <v>0</v>
      </c>
      <c r="U924" s="17">
        <f>ROUND($B924*U$889,2)</f>
        <v>0</v>
      </c>
      <c r="V924" s="8">
        <f>ROUND($B924*V$884,2)</f>
        <v>0</v>
      </c>
      <c r="W924" s="17">
        <f>ROUND($B924*W$889,2)</f>
        <v>0</v>
      </c>
      <c r="X924" s="17">
        <f>ROUND($B924*X$889,2)</f>
        <v>0</v>
      </c>
      <c r="Y924" s="17">
        <f>ROUND($B924*Y$889,2)</f>
        <v>0</v>
      </c>
      <c r="Z924" s="17">
        <f>ROUND($B924*Z$889,2)</f>
        <v>0</v>
      </c>
      <c r="AA924" s="17">
        <f>ROUND($B924*AA$889,2)</f>
        <v>0</v>
      </c>
      <c r="AB924" s="19">
        <f>SUM(U$889:AA$889)+(-V$889+V908)</f>
        <v>2.3760000000000005E-3</v>
      </c>
      <c r="AC924" s="78" t="str">
        <f>+F924</f>
        <v>HL39</v>
      </c>
    </row>
    <row r="925" spans="1:29" ht="13" x14ac:dyDescent="0.3">
      <c r="A925" s="49"/>
      <c r="B925" s="111">
        <v>-1</v>
      </c>
      <c r="D925" s="8"/>
      <c r="E925" s="9"/>
      <c r="F925" s="37"/>
      <c r="G925" s="12"/>
      <c r="H925" s="12"/>
      <c r="J925" s="12"/>
      <c r="K925" s="12"/>
      <c r="L925" s="12"/>
      <c r="M925" s="12"/>
      <c r="N925" s="12"/>
      <c r="O925" s="12"/>
      <c r="P925" s="12"/>
      <c r="Q925" s="12"/>
      <c r="R925" s="39" t="e">
        <f>VLOOKUP((D926),'Pwr Factor'!$A$1:$B$52,2)</f>
        <v>#N/A</v>
      </c>
      <c r="S925" s="51">
        <v>0.5</v>
      </c>
      <c r="T925" s="12"/>
      <c r="U925" s="12"/>
      <c r="V925" s="12"/>
      <c r="W925" s="12"/>
      <c r="X925" s="12"/>
      <c r="Y925" s="12"/>
      <c r="Z925" s="12"/>
      <c r="AA925" s="12"/>
    </row>
    <row r="926" spans="1:29" ht="13" x14ac:dyDescent="0.3">
      <c r="A926" s="57" t="s">
        <v>171</v>
      </c>
      <c r="B926" s="111">
        <f>IF(AND('AES Indiana Sep 23 Bill Calc.'!$D$17="HL3",'AES Indiana Sep 23 Bill Calc.'!$D$18="Yes 50%",'AES Indiana Sep 23 Bill Calc.'!$D$20="Yes 2019"),'AES Indiana Sep 23 Bill Calc.'!$D$19,-1)</f>
        <v>-1</v>
      </c>
      <c r="C926" s="111">
        <f>MAX(E926,$C$701)</f>
        <v>2000</v>
      </c>
      <c r="D926" s="111" t="b">
        <f>IF(AND('AES Indiana Sep 23 Bill Calc.'!$D$17="HL3",'AES Indiana Sep 23 Bill Calc.'!$D$18="Yes 50%",'AES Indiana Sep 23 Bill Calc.'!$D$20="Yes 2019"),'AES Indiana Sep 23 Bill Calc.'!$D$22)</f>
        <v>0</v>
      </c>
      <c r="E926" s="111" t="b">
        <f>IF(AND('AES Indiana Sep 23 Bill Calc.'!$D$17="HL3",'AES Indiana Sep 23 Bill Calc.'!$D$18="Yes 50%",'AES Indiana Sep 23 Bill Calc.'!$D$20="Yes 2019"),'AES Indiana Sep 23 Bill Calc.'!$D$21)</f>
        <v>0</v>
      </c>
      <c r="F926" s="37" t="s">
        <v>155</v>
      </c>
      <c r="G926" s="113" t="e">
        <f>SUM(J926:M926,R926:AA926)</f>
        <v>#N/A</v>
      </c>
      <c r="H926" s="19" t="e">
        <f>IF(ISBLANK(B926),0,+#REF!/B926)</f>
        <v>#REF!</v>
      </c>
      <c r="J926" s="53">
        <f>IF(ISBLANK(B926),0,+J$889)</f>
        <v>492.51</v>
      </c>
      <c r="K926" s="17">
        <f>ROUND($B926*K$889,2)</f>
        <v>-0.03</v>
      </c>
      <c r="L926" s="17">
        <f>IF(ISBLANK($C926),0,IF($C926&lt;$C$890,ROUND($C$890*$L$889,2),IF($C926&gt;L$890,ROUND(L$890*L$889,2),ROUND($C926*L$889,2))))</f>
        <v>42600</v>
      </c>
      <c r="M926" s="17">
        <f>IF($C926&gt;L$890,ROUND(($C926-L$890)*M$889,2),0)</f>
        <v>0</v>
      </c>
      <c r="N926" s="17">
        <f>K926</f>
        <v>-0.03</v>
      </c>
      <c r="O926" s="17"/>
      <c r="P926" s="17"/>
      <c r="Q926" s="17">
        <f>SUM(L926:M926)</f>
        <v>42600</v>
      </c>
      <c r="R926" s="16" t="e">
        <f>ROUND(SUM(K926:M926)*(R925-1),2)</f>
        <v>#N/A</v>
      </c>
      <c r="S926" s="17">
        <f>ROUND($B926*S$889*S925,2)</f>
        <v>0</v>
      </c>
      <c r="T926" s="17">
        <f>ROUND($B926*T$889,2)</f>
        <v>0</v>
      </c>
      <c r="U926" s="17">
        <f>ROUND($B926*U$889,2)</f>
        <v>0</v>
      </c>
      <c r="V926" s="8">
        <f>ROUND($B926*V$884,2)</f>
        <v>0</v>
      </c>
      <c r="W926" s="17">
        <f>ROUND($B926*W$889,2)</f>
        <v>0</v>
      </c>
      <c r="X926" s="17">
        <f>ROUND($B926*X$889,2)</f>
        <v>0</v>
      </c>
      <c r="Y926" s="17">
        <f>ROUND($B926*Y$889,2)</f>
        <v>0</v>
      </c>
      <c r="Z926" s="17">
        <f>ROUND($B926*Z$889,2)</f>
        <v>0</v>
      </c>
      <c r="AA926" s="17">
        <f>ROUND($B926*AA$889,2)</f>
        <v>0</v>
      </c>
      <c r="AB926" s="19">
        <f>SUM(U$889:AA$889)+(-V$889+V910)</f>
        <v>2.3760000000000005E-3</v>
      </c>
      <c r="AC926" s="78" t="str">
        <f>+F926</f>
        <v>HL39</v>
      </c>
    </row>
    <row r="927" spans="1:29" ht="13" x14ac:dyDescent="0.3">
      <c r="A927" s="9"/>
      <c r="B927" s="111">
        <v>-1</v>
      </c>
      <c r="D927" s="8"/>
      <c r="E927" s="9"/>
      <c r="F927" s="37"/>
      <c r="G927" s="12"/>
      <c r="H927" s="12"/>
      <c r="J927" s="12"/>
      <c r="K927" s="12"/>
      <c r="L927" s="12"/>
      <c r="M927" s="12"/>
      <c r="N927" s="12"/>
      <c r="O927" s="12"/>
      <c r="P927" s="12"/>
      <c r="Q927" s="12"/>
      <c r="R927" s="39" t="e">
        <f>VLOOKUP((D928),'Pwr Factor'!$A$1:$B$52,2)</f>
        <v>#N/A</v>
      </c>
      <c r="S927" s="51">
        <v>0.25</v>
      </c>
      <c r="T927" s="12"/>
      <c r="U927" s="12"/>
      <c r="V927" s="12"/>
      <c r="W927" s="12"/>
      <c r="X927" s="12"/>
      <c r="Y927" s="12"/>
      <c r="Z927" s="12"/>
      <c r="AA927" s="12"/>
    </row>
    <row r="928" spans="1:29" ht="13" x14ac:dyDescent="0.3">
      <c r="A928" s="57" t="s">
        <v>158</v>
      </c>
      <c r="B928" s="111">
        <f>IF(AND('AES Indiana Sep 23 Bill Calc.'!$D$17="HL3",'AES Indiana Sep 23 Bill Calc.'!$D$18="Yes 25%",'AES Indiana Sep 23 Bill Calc.'!$D$20="Yes 2019"),'AES Indiana Sep 23 Bill Calc.'!$D$19,-1)</f>
        <v>-1</v>
      </c>
      <c r="C928" s="111">
        <f>MAX(E928,$C$701)</f>
        <v>2000</v>
      </c>
      <c r="D928" s="111" t="b">
        <f>IF(AND('AES Indiana Sep 23 Bill Calc.'!$D$17="HL3",'AES Indiana Sep 23 Bill Calc.'!$D$18="Yes 25%",'AES Indiana Sep 23 Bill Calc.'!$D$20="Yes 2019"),'AES Indiana Sep 23 Bill Calc.'!$D$22)</f>
        <v>0</v>
      </c>
      <c r="E928" s="111" t="b">
        <f>IF(AND('AES Indiana Sep 23 Bill Calc.'!$D$17="HL3",'AES Indiana Sep 23 Bill Calc.'!$D$18="Yes 25%",'AES Indiana Sep 23 Bill Calc.'!$D$20="Yes 2019"),'AES Indiana Sep 23 Bill Calc.'!$D$21)</f>
        <v>0</v>
      </c>
      <c r="F928" s="37" t="s">
        <v>155</v>
      </c>
      <c r="G928" s="113" t="e">
        <f>SUM(J928:M928,R928:AA928)</f>
        <v>#N/A</v>
      </c>
      <c r="H928" s="19" t="e">
        <f>IF(ISBLANK(B928),0,+#REF!/B928)</f>
        <v>#REF!</v>
      </c>
      <c r="J928" s="53">
        <f>IF(ISBLANK(B928),0,+J$889)</f>
        <v>492.51</v>
      </c>
      <c r="K928" s="17">
        <f>ROUND($B928*K$889,2)</f>
        <v>-0.03</v>
      </c>
      <c r="L928" s="17">
        <f>IF(ISBLANK($C928),0,IF($C928&lt;$C$890,ROUND($C$890*$L$889,2),IF($C928&gt;L$890,ROUND(L$890*L$889,2),ROUND($C928*L$889,2))))</f>
        <v>42600</v>
      </c>
      <c r="M928" s="17">
        <f>IF($C928&gt;L$890,ROUND(($C928-L$890)*M$889,2),0)</f>
        <v>0</v>
      </c>
      <c r="N928" s="17">
        <f>K928</f>
        <v>-0.03</v>
      </c>
      <c r="O928" s="17"/>
      <c r="P928" s="17"/>
      <c r="Q928" s="17">
        <f>SUM(L928:M928)</f>
        <v>42600</v>
      </c>
      <c r="R928" s="16" t="e">
        <f>ROUND(SUM(K928:M928)*(R927-1),2)</f>
        <v>#N/A</v>
      </c>
      <c r="S928" s="17">
        <f>ROUND($B928*S$889*S927,2)</f>
        <v>0</v>
      </c>
      <c r="T928" s="17">
        <f>ROUND($B928*T$889,2)</f>
        <v>0</v>
      </c>
      <c r="U928" s="17">
        <f>ROUND($B928*U$889,2)</f>
        <v>0</v>
      </c>
      <c r="V928" s="8">
        <f>ROUND($B928*V$884,2)</f>
        <v>0</v>
      </c>
      <c r="W928" s="17">
        <f>ROUND($B928*W$889,2)</f>
        <v>0</v>
      </c>
      <c r="X928" s="17">
        <f>ROUND($B928*X$889,2)</f>
        <v>0</v>
      </c>
      <c r="Y928" s="17">
        <f>ROUND($B928*Y$889,2)</f>
        <v>0</v>
      </c>
      <c r="Z928" s="17">
        <f>ROUND($B928*Z$889,2)</f>
        <v>0</v>
      </c>
      <c r="AA928" s="17">
        <f>ROUND($B928*AA$889,2)</f>
        <v>0</v>
      </c>
      <c r="AB928" s="19">
        <f>SUM(U$889:AA$889)+(-V$889+V912)</f>
        <v>2.3760000000000005E-3</v>
      </c>
      <c r="AC928" s="78" t="str">
        <f>+F928</f>
        <v>HL39</v>
      </c>
    </row>
    <row r="929" spans="1:29" ht="13" x14ac:dyDescent="0.3">
      <c r="A929" s="9"/>
      <c r="B929" s="111">
        <v>-1</v>
      </c>
      <c r="D929" s="8"/>
      <c r="E929" s="9"/>
      <c r="F929" s="37"/>
      <c r="G929" s="12"/>
      <c r="H929" s="12"/>
      <c r="J929" s="12"/>
      <c r="K929" s="12"/>
      <c r="L929" s="12"/>
      <c r="M929" s="12"/>
      <c r="N929" s="12"/>
      <c r="O929" s="12"/>
      <c r="P929" s="12"/>
      <c r="Q929" s="12"/>
      <c r="R929" s="39" t="e">
        <f>VLOOKUP((D930),'Pwr Factor'!$A$1:$B$52,2)</f>
        <v>#N/A</v>
      </c>
      <c r="S929" s="51">
        <v>0.1</v>
      </c>
      <c r="T929" s="12"/>
      <c r="U929" s="12"/>
      <c r="V929" s="12"/>
      <c r="W929" s="12"/>
      <c r="X929" s="12"/>
      <c r="Y929" s="12"/>
      <c r="Z929" s="12"/>
      <c r="AA929" s="12"/>
    </row>
    <row r="930" spans="1:29" ht="13" x14ac:dyDescent="0.3">
      <c r="A930" s="57" t="s">
        <v>173</v>
      </c>
      <c r="B930" s="111">
        <f>IF(AND('AES Indiana Sep 23 Bill Calc.'!$D$17="HL3",'AES Indiana Sep 23 Bill Calc.'!$D$18="Yes 10%",'AES Indiana Sep 23 Bill Calc.'!$D$20="Yes 2019"),'AES Indiana Sep 23 Bill Calc.'!$D$19,-1)</f>
        <v>-1</v>
      </c>
      <c r="C930" s="111">
        <f>MAX(E930,$C$701)</f>
        <v>2000</v>
      </c>
      <c r="D930" s="111" t="b">
        <f>IF(AND('AES Indiana Sep 23 Bill Calc.'!$D$17="HL3",'AES Indiana Sep 23 Bill Calc.'!$D$18="Yes 10%",'AES Indiana Sep 23 Bill Calc.'!$D$20="Yes 2019"),'AES Indiana Sep 23 Bill Calc.'!$D$22)</f>
        <v>0</v>
      </c>
      <c r="E930" s="111" t="b">
        <f>IF(AND('AES Indiana Sep 23 Bill Calc.'!$D$17="HL3",'AES Indiana Sep 23 Bill Calc.'!$D$18="Yes 10%",'AES Indiana Sep 23 Bill Calc.'!$D$20="Yes 2019"),'AES Indiana Sep 23 Bill Calc.'!$D$21)</f>
        <v>0</v>
      </c>
      <c r="F930" s="37" t="s">
        <v>155</v>
      </c>
      <c r="G930" s="113" t="e">
        <f>SUM(J930:M930,R930:AA930)</f>
        <v>#N/A</v>
      </c>
      <c r="H930" s="19" t="e">
        <f>IF(ISBLANK(B930),0,+#REF!/B930)</f>
        <v>#REF!</v>
      </c>
      <c r="J930" s="53">
        <f>IF(ISBLANK(B930),0,+J$889)</f>
        <v>492.51</v>
      </c>
      <c r="K930" s="17">
        <f>ROUND($B930*K$889,2)</f>
        <v>-0.03</v>
      </c>
      <c r="L930" s="17">
        <f>IF(ISBLANK($C930),0,IF($C930&lt;$C$890,ROUND($C$890*$L$889,2),IF($C930&gt;L$890,ROUND(L$890*L$889,2),ROUND($C930*L$889,2))))</f>
        <v>42600</v>
      </c>
      <c r="M930" s="17">
        <f>IF($C930&gt;L$890,ROUND(($C930-L$890)*M$889,2),0)</f>
        <v>0</v>
      </c>
      <c r="N930" s="17">
        <f>K930</f>
        <v>-0.03</v>
      </c>
      <c r="O930" s="17"/>
      <c r="P930" s="17"/>
      <c r="Q930" s="17">
        <f>SUM(L930:M930)</f>
        <v>42600</v>
      </c>
      <c r="R930" s="16" t="e">
        <f>ROUND(SUM(K930:M930)*(R929-1),2)</f>
        <v>#N/A</v>
      </c>
      <c r="S930" s="17">
        <f>ROUND($B930*S$889*S929,2)</f>
        <v>0</v>
      </c>
      <c r="T930" s="17">
        <f>ROUND($B930*T$889,2)</f>
        <v>0</v>
      </c>
      <c r="U930" s="17">
        <f>ROUND($B930*U$889,2)</f>
        <v>0</v>
      </c>
      <c r="V930" s="8">
        <f>ROUND($B930*V$884,2)</f>
        <v>0</v>
      </c>
      <c r="W930" s="17">
        <f>ROUND($B930*W$889,2)</f>
        <v>0</v>
      </c>
      <c r="X930" s="17">
        <f>ROUND($B930*X$889,2)</f>
        <v>0</v>
      </c>
      <c r="Y930" s="17">
        <f>ROUND($B930*Y$889,2)</f>
        <v>0</v>
      </c>
      <c r="Z930" s="17">
        <f>ROUND($B930*Z$889,2)</f>
        <v>0</v>
      </c>
      <c r="AA930" s="17">
        <f>ROUND($B930*AA$889,2)</f>
        <v>0</v>
      </c>
      <c r="AB930" s="19">
        <f>SUM(U$889:AA$889)+(-V$889+V914)</f>
        <v>2.3760000000000005E-3</v>
      </c>
      <c r="AC930" s="78" t="str">
        <f>+F930</f>
        <v>HL39</v>
      </c>
    </row>
    <row r="931" spans="1:29" ht="13" x14ac:dyDescent="0.3">
      <c r="A931" s="9"/>
      <c r="B931" s="111">
        <v>-1</v>
      </c>
      <c r="D931" s="8"/>
      <c r="E931" s="9"/>
      <c r="F931" s="37"/>
      <c r="G931" s="12"/>
      <c r="H931" s="12"/>
      <c r="J931" s="12"/>
      <c r="K931" s="12"/>
      <c r="L931" s="12"/>
      <c r="M931" s="12"/>
      <c r="N931" s="12"/>
      <c r="O931" s="12"/>
      <c r="P931" s="12"/>
      <c r="Q931" s="12"/>
      <c r="R931" s="39" t="e">
        <f>VLOOKUP((D932),'Pwr Factor'!$A$1:$B$52,2)</f>
        <v>#N/A</v>
      </c>
      <c r="S931" s="51">
        <v>0</v>
      </c>
      <c r="T931" s="12"/>
      <c r="U931" s="12"/>
      <c r="V931" s="12"/>
      <c r="W931" s="12"/>
      <c r="X931" s="12"/>
      <c r="Y931" s="12"/>
      <c r="Z931" s="12"/>
      <c r="AA931" s="12"/>
    </row>
    <row r="932" spans="1:29" ht="13" x14ac:dyDescent="0.3">
      <c r="A932" s="57" t="s">
        <v>172</v>
      </c>
      <c r="B932" s="111">
        <f>IF(AND('AES Indiana Sep 23 Bill Calc.'!$D$17="HL3",'AES Indiana Sep 23 Bill Calc.'!$D$18="No",'AES Indiana Sep 23 Bill Calc.'!$D$20="Yes 2019"),'AES Indiana Sep 23 Bill Calc.'!$D$19,-1)</f>
        <v>-1</v>
      </c>
      <c r="C932" s="111">
        <f>MAX(E932,$C$701)</f>
        <v>2000</v>
      </c>
      <c r="D932" s="111" t="b">
        <f>IF(AND('AES Indiana Sep 23 Bill Calc.'!$D$17="HL3",'AES Indiana Sep 23 Bill Calc.'!$D$18="No",'AES Indiana Sep 23 Bill Calc.'!$D$20="Yes 2019"),'AES Indiana Sep 23 Bill Calc.'!$D$22)</f>
        <v>0</v>
      </c>
      <c r="E932" s="111" t="b">
        <f>IF(AND('AES Indiana Sep 23 Bill Calc.'!$D$17="HL3",'AES Indiana Sep 23 Bill Calc.'!$D$18="No",'AES Indiana Sep 23 Bill Calc.'!$D$20="Yes 2019"),'AES Indiana Sep 23 Bill Calc.'!$D$21)</f>
        <v>0</v>
      </c>
      <c r="F932" s="37" t="s">
        <v>155</v>
      </c>
      <c r="G932" s="113" t="e">
        <f>SUM(J932:M932,R932:AA932)</f>
        <v>#N/A</v>
      </c>
      <c r="H932" s="19" t="e">
        <f>IF(ISBLANK(B932),0,+#REF!/B932)</f>
        <v>#REF!</v>
      </c>
      <c r="J932" s="53">
        <f>IF(ISBLANK(B932),0,+J$889)</f>
        <v>492.51</v>
      </c>
      <c r="K932" s="17">
        <f>ROUND($B932*K$889,2)</f>
        <v>-0.03</v>
      </c>
      <c r="L932" s="17">
        <f>IF(ISBLANK($C932),0,IF($C932&lt;$C$890,ROUND($C$890*$L$889,2),IF($C932&gt;L$890,ROUND(L$890*L$889,2),ROUND($C932*L$889,2))))</f>
        <v>42600</v>
      </c>
      <c r="M932" s="17">
        <f>IF($C932&gt;L$890,ROUND(($C932-L$890)*M$889,2),0)</f>
        <v>0</v>
      </c>
      <c r="N932" s="17">
        <f>K932</f>
        <v>-0.03</v>
      </c>
      <c r="O932" s="17"/>
      <c r="P932" s="17"/>
      <c r="Q932" s="17">
        <f>SUM(L932:M932)</f>
        <v>42600</v>
      </c>
      <c r="R932" s="16" t="e">
        <f>ROUND(SUM(K932:M932)*(R931-1),2)</f>
        <v>#N/A</v>
      </c>
      <c r="S932" s="17">
        <f>ROUND($B932*S$889*S931,2)</f>
        <v>0</v>
      </c>
      <c r="T932" s="17">
        <f>ROUND($B932*T$889,2)</f>
        <v>0</v>
      </c>
      <c r="U932" s="17">
        <f>ROUND($B932*U$889,2)</f>
        <v>0</v>
      </c>
      <c r="V932" s="8">
        <f>ROUND($B932*V$884,2)</f>
        <v>0</v>
      </c>
      <c r="W932" s="17">
        <f>ROUND($B932*W$889,2)</f>
        <v>0</v>
      </c>
      <c r="X932" s="17">
        <f>ROUND($B932*X$889,2)</f>
        <v>0</v>
      </c>
      <c r="Y932" s="17">
        <f>ROUND($B932*Y$889,2)</f>
        <v>0</v>
      </c>
      <c r="Z932" s="17">
        <f>ROUND($B932*Z$889,2)</f>
        <v>0</v>
      </c>
      <c r="AA932" s="17">
        <f>ROUND($B932*AA$889,2)</f>
        <v>0</v>
      </c>
      <c r="AB932" s="19">
        <f>SUM(U$889:AA$889)+(-V$889+V916)</f>
        <v>2.3760000000000005E-3</v>
      </c>
      <c r="AC932" s="78" t="str">
        <f>+F932</f>
        <v>HL39</v>
      </c>
    </row>
    <row r="933" spans="1:29" ht="13" x14ac:dyDescent="0.3">
      <c r="A933" s="49"/>
      <c r="B933" s="111">
        <v>-1</v>
      </c>
      <c r="D933" s="8"/>
      <c r="E933" s="9"/>
      <c r="F933" s="37"/>
      <c r="G933" s="12"/>
      <c r="H933" s="12"/>
      <c r="J933" s="12"/>
      <c r="K933" s="12"/>
      <c r="L933" s="12"/>
      <c r="M933" s="12"/>
      <c r="N933" s="12"/>
      <c r="O933" s="12"/>
      <c r="P933" s="12"/>
      <c r="Q933" s="12"/>
      <c r="R933" s="39" t="e">
        <f>VLOOKUP((D934),'Pwr Factor'!$A$1:$B$52,2)</f>
        <v>#N/A</v>
      </c>
      <c r="S933" s="51">
        <v>1</v>
      </c>
      <c r="T933" s="12"/>
      <c r="U933" s="12"/>
      <c r="V933" s="12"/>
      <c r="W933" s="12"/>
      <c r="X933" s="12"/>
      <c r="Y933" s="12"/>
      <c r="Z933" s="12"/>
      <c r="AA933" s="12"/>
    </row>
    <row r="934" spans="1:29" ht="13" x14ac:dyDescent="0.3">
      <c r="A934" s="1" t="s">
        <v>73</v>
      </c>
      <c r="B934" s="111">
        <f>IF(AND('AES Indiana Sep 23 Bill Calc.'!$D$17="HL3",'AES Indiana Sep 23 Bill Calc.'!$D$18="Yes 100%",'AES Indiana Sep 23 Bill Calc.'!$D$20="Yes 2020"),'AES Indiana Sep 23 Bill Calc.'!$D$19,-1)</f>
        <v>-1</v>
      </c>
      <c r="C934" s="111">
        <f>MAX(E934,$C$701)</f>
        <v>2000</v>
      </c>
      <c r="D934" s="111" t="b">
        <f>IF(AND('AES Indiana Sep 23 Bill Calc.'!$D$17="HL3",'AES Indiana Sep 23 Bill Calc.'!$D$18="Yes 100%",'AES Indiana Sep 23 Bill Calc.'!$D$20="Yes 2020"),'AES Indiana Sep 23 Bill Calc.'!$D$22)</f>
        <v>0</v>
      </c>
      <c r="E934" s="111" t="b">
        <f>IF(AND('AES Indiana Sep 23 Bill Calc.'!$D$17="HL3",'AES Indiana Sep 23 Bill Calc.'!$D$18="Yes 100%",'AES Indiana Sep 23 Bill Calc.'!$D$20="Yes 2020"),'AES Indiana Sep 23 Bill Calc.'!$D$21)</f>
        <v>0</v>
      </c>
      <c r="F934" s="37" t="s">
        <v>156</v>
      </c>
      <c r="G934" s="113" t="e">
        <f>SUM(J934:M934,R934:AA934)</f>
        <v>#N/A</v>
      </c>
      <c r="H934" s="19" t="e">
        <f>IF(ISBLANK(B934),0,+#REF!/B934)</f>
        <v>#REF!</v>
      </c>
      <c r="J934" s="53">
        <f>IF(ISBLANK(B934),0,+J$889)</f>
        <v>492.51</v>
      </c>
      <c r="K934" s="17">
        <f>ROUND($B934*K$889,2)</f>
        <v>-0.03</v>
      </c>
      <c r="L934" s="17">
        <f>IF(ISBLANK($C934),0,IF($C934&lt;$C$890,ROUND($C$890*$L$889,2),IF($C934&gt;L$890,ROUND(L$890*L$889,2),ROUND($C934*L$889,2))))</f>
        <v>42600</v>
      </c>
      <c r="M934" s="17">
        <f>IF($C934&gt;L$890,ROUND(($C934-L$890)*M$889,2),0)</f>
        <v>0</v>
      </c>
      <c r="N934" s="17">
        <f>K934</f>
        <v>-0.03</v>
      </c>
      <c r="O934" s="17"/>
      <c r="P934" s="17"/>
      <c r="Q934" s="17">
        <f>SUM(L934:M934)</f>
        <v>42600</v>
      </c>
      <c r="R934" s="16" t="e">
        <f>ROUND(SUM(K934:M934)*(R933-1),2)</f>
        <v>#N/A</v>
      </c>
      <c r="S934" s="17">
        <f>ROUND($B934*S$889*S933,2)</f>
        <v>0</v>
      </c>
      <c r="T934" s="17">
        <f>ROUND($B934*T$889,2)</f>
        <v>0</v>
      </c>
      <c r="U934" s="17">
        <f>ROUND($B934*U$889,2)</f>
        <v>0</v>
      </c>
      <c r="V934" s="8">
        <f>ROUND($B934*V$885,2)</f>
        <v>0</v>
      </c>
      <c r="W934" s="17">
        <f>ROUND($B934*W$889,2)</f>
        <v>0</v>
      </c>
      <c r="X934" s="17">
        <f>ROUND($B934*X$889,2)</f>
        <v>0</v>
      </c>
      <c r="Y934" s="17">
        <f>ROUND($B934*Y$889,2)</f>
        <v>0</v>
      </c>
      <c r="Z934" s="17">
        <f>ROUND($B934*Z$889,2)</f>
        <v>0</v>
      </c>
      <c r="AA934" s="17">
        <f>ROUND($B934*AA$889,2)</f>
        <v>0</v>
      </c>
      <c r="AB934" s="19">
        <f>SUM(U$889:AA$889)+(-V$889+V918)</f>
        <v>2.3760000000000005E-3</v>
      </c>
      <c r="AC934" s="78" t="str">
        <f>+F934</f>
        <v>HL30</v>
      </c>
    </row>
    <row r="935" spans="1:29" ht="13" x14ac:dyDescent="0.3">
      <c r="A935" s="49"/>
      <c r="B935" s="111">
        <v>-1</v>
      </c>
      <c r="D935" s="8"/>
      <c r="E935" s="9"/>
      <c r="F935" s="37"/>
      <c r="G935" s="12"/>
      <c r="H935" s="12"/>
      <c r="J935" s="12"/>
      <c r="K935" s="12"/>
      <c r="L935" s="12"/>
      <c r="M935" s="12"/>
      <c r="N935" s="12"/>
      <c r="O935" s="12"/>
      <c r="P935" s="12"/>
      <c r="Q935" s="12"/>
      <c r="R935" s="39" t="e">
        <f>VLOOKUP((D936),'Pwr Factor'!$A$1:$B$52,2)</f>
        <v>#N/A</v>
      </c>
      <c r="S935" s="51">
        <v>0.5</v>
      </c>
      <c r="T935" s="12"/>
      <c r="U935" s="12"/>
      <c r="V935" s="12"/>
      <c r="W935" s="12"/>
      <c r="X935" s="12"/>
      <c r="Y935" s="12"/>
      <c r="Z935" s="12"/>
      <c r="AA935" s="12"/>
    </row>
    <row r="936" spans="1:29" ht="13" x14ac:dyDescent="0.3">
      <c r="A936" s="57" t="s">
        <v>171</v>
      </c>
      <c r="B936" s="111">
        <f>IF(AND('AES Indiana Sep 23 Bill Calc.'!$D$17="HL3",'AES Indiana Sep 23 Bill Calc.'!$D$18="Yes 50%",'AES Indiana Sep 23 Bill Calc.'!$D$20="Yes 2020"),'AES Indiana Sep 23 Bill Calc.'!$D$19,-1)</f>
        <v>-1</v>
      </c>
      <c r="C936" s="111">
        <f>MAX(E936,$C$701)</f>
        <v>2000</v>
      </c>
      <c r="D936" s="111" t="b">
        <f>IF(AND('AES Indiana Sep 23 Bill Calc.'!$D$17="HL3",'AES Indiana Sep 23 Bill Calc.'!$D$18="Yes 50%",'AES Indiana Sep 23 Bill Calc.'!$D$20="Yes 2020"),'AES Indiana Sep 23 Bill Calc.'!$D$22)</f>
        <v>0</v>
      </c>
      <c r="E936" s="111" t="b">
        <f>IF(AND('AES Indiana Sep 23 Bill Calc.'!$D$17="HL3",'AES Indiana Sep 23 Bill Calc.'!$D$18="Yes 50%",'AES Indiana Sep 23 Bill Calc.'!$D$20="Yes 2020"),'AES Indiana Sep 23 Bill Calc.'!$D$21)</f>
        <v>0</v>
      </c>
      <c r="F936" s="37" t="s">
        <v>156</v>
      </c>
      <c r="G936" s="113" t="e">
        <f>SUM(J936:M936,R936:AA936)</f>
        <v>#N/A</v>
      </c>
      <c r="H936" s="19" t="e">
        <f>IF(ISBLANK(B936),0,+#REF!/B936)</f>
        <v>#REF!</v>
      </c>
      <c r="J936" s="53">
        <f>IF(ISBLANK(B936),0,+J$889)</f>
        <v>492.51</v>
      </c>
      <c r="K936" s="17">
        <f>ROUND($B936*K$889,2)</f>
        <v>-0.03</v>
      </c>
      <c r="L936" s="17">
        <f>IF(ISBLANK($C936),0,IF($C936&lt;$C$890,ROUND($C$890*$L$889,2),IF($C936&gt;L$890,ROUND(L$890*L$889,2),ROUND($C936*L$889,2))))</f>
        <v>42600</v>
      </c>
      <c r="M936" s="17">
        <f>IF($C936&gt;L$890,ROUND(($C936-L$890)*M$889,2),0)</f>
        <v>0</v>
      </c>
      <c r="N936" s="17">
        <v>0</v>
      </c>
      <c r="O936" s="17"/>
      <c r="P936" s="17"/>
      <c r="Q936" s="17">
        <f>SUM(L936:M936)</f>
        <v>42600</v>
      </c>
      <c r="R936" s="16" t="e">
        <f>ROUND(SUM(K936:M936)*(R935-1),2)</f>
        <v>#N/A</v>
      </c>
      <c r="S936" s="17">
        <f>ROUND($B936*S$889*S935,2)</f>
        <v>0</v>
      </c>
      <c r="T936" s="17">
        <f>ROUND($B936*T$889,2)</f>
        <v>0</v>
      </c>
      <c r="U936" s="17">
        <f>ROUND($B936*U$889,2)</f>
        <v>0</v>
      </c>
      <c r="V936" s="8">
        <f>ROUND($B936*V$885,2)</f>
        <v>0</v>
      </c>
      <c r="W936" s="17">
        <f>ROUND($B936*W$889,2)</f>
        <v>0</v>
      </c>
      <c r="X936" s="17">
        <f>ROUND($B936*X$889,2)</f>
        <v>0</v>
      </c>
      <c r="Y936" s="17">
        <f>ROUND($B936*Y$889,2)</f>
        <v>0</v>
      </c>
      <c r="Z936" s="17">
        <f>ROUND($B936*Z$889,2)</f>
        <v>0</v>
      </c>
      <c r="AA936" s="17">
        <f>ROUND($B936*AA$889,2)</f>
        <v>0</v>
      </c>
      <c r="AB936" s="19">
        <f>SUM(U$889:AA$889)+(-V$889+V920)</f>
        <v>2.3760000000000005E-3</v>
      </c>
      <c r="AC936" s="78" t="str">
        <f>+F936</f>
        <v>HL30</v>
      </c>
    </row>
    <row r="937" spans="1:29" ht="13" x14ac:dyDescent="0.3">
      <c r="A937" s="9"/>
      <c r="B937" s="111">
        <v>-1</v>
      </c>
      <c r="D937" s="8"/>
      <c r="E937" s="9"/>
      <c r="F937" s="37"/>
      <c r="G937" s="12"/>
      <c r="H937" s="12"/>
      <c r="J937" s="12"/>
      <c r="K937" s="12"/>
      <c r="L937" s="12"/>
      <c r="M937" s="12"/>
      <c r="N937" s="12"/>
      <c r="O937" s="12"/>
      <c r="P937" s="12"/>
      <c r="Q937" s="12"/>
      <c r="R937" s="39" t="e">
        <f>VLOOKUP((D938),'Pwr Factor'!$A$1:$B$52,2)</f>
        <v>#N/A</v>
      </c>
      <c r="S937" s="51">
        <v>0.25</v>
      </c>
      <c r="T937" s="12"/>
      <c r="U937" s="12"/>
      <c r="V937" s="12"/>
      <c r="W937" s="12"/>
      <c r="X937" s="12"/>
      <c r="Y937" s="12"/>
      <c r="Z937" s="12"/>
      <c r="AA937" s="12"/>
    </row>
    <row r="938" spans="1:29" ht="13" x14ac:dyDescent="0.3">
      <c r="A938" s="57" t="s">
        <v>158</v>
      </c>
      <c r="B938" s="111">
        <f>IF(AND('AES Indiana Sep 23 Bill Calc.'!$D$17="HL3",'AES Indiana Sep 23 Bill Calc.'!$D$18="Yes 25%",'AES Indiana Sep 23 Bill Calc.'!$D$20="Yes 2020"),'AES Indiana Sep 23 Bill Calc.'!$D$19,-1)</f>
        <v>-1</v>
      </c>
      <c r="C938" s="111">
        <f>MAX(E938,$C$701)</f>
        <v>2000</v>
      </c>
      <c r="D938" s="111" t="b">
        <f>IF(AND('AES Indiana Sep 23 Bill Calc.'!$D$17="HL3",'AES Indiana Sep 23 Bill Calc.'!$D$18="Yes 25%",'AES Indiana Sep 23 Bill Calc.'!$D$20="Yes 2020"),'AES Indiana Sep 23 Bill Calc.'!$D$22)</f>
        <v>0</v>
      </c>
      <c r="E938" s="111" t="b">
        <f>IF(AND('AES Indiana Sep 23 Bill Calc.'!$D$17="HL3",'AES Indiana Sep 23 Bill Calc.'!$D$18="Yes 25%",'AES Indiana Sep 23 Bill Calc.'!$D$20="Yes 2020"),'AES Indiana Sep 23 Bill Calc.'!$D$21)</f>
        <v>0</v>
      </c>
      <c r="F938" s="37" t="s">
        <v>156</v>
      </c>
      <c r="G938" s="113" t="e">
        <f>SUM(J938:M938,R938:AA938)</f>
        <v>#N/A</v>
      </c>
      <c r="H938" s="19" t="e">
        <f>IF(ISBLANK(B938),0,+#REF!/B938)</f>
        <v>#REF!</v>
      </c>
      <c r="J938" s="53">
        <f>IF(ISBLANK(B938),0,+J$889)</f>
        <v>492.51</v>
      </c>
      <c r="K938" s="17">
        <f>ROUND($B938*K$889,2)</f>
        <v>-0.03</v>
      </c>
      <c r="L938" s="17">
        <f>IF(ISBLANK($C938),0,IF($C938&lt;$C$890,ROUND($C$890*$L$889,2),IF($C938&gt;L$890,ROUND(L$890*L$889,2),ROUND($C938*L$889,2))))</f>
        <v>42600</v>
      </c>
      <c r="M938" s="17">
        <f>IF($C938&gt;L$890,ROUND(($C938-L$890)*M$889,2),0)</f>
        <v>0</v>
      </c>
      <c r="N938" s="17">
        <f>K938</f>
        <v>-0.03</v>
      </c>
      <c r="O938" s="17"/>
      <c r="P938" s="17"/>
      <c r="Q938" s="17">
        <f>SUM(L938:M938)</f>
        <v>42600</v>
      </c>
      <c r="R938" s="16" t="e">
        <f>ROUND(SUM(K938:M938)*(R937-1),2)</f>
        <v>#N/A</v>
      </c>
      <c r="S938" s="17">
        <f>ROUND($B938*S$889*S937,2)</f>
        <v>0</v>
      </c>
      <c r="T938" s="17">
        <f>ROUND($B938*T$889,2)</f>
        <v>0</v>
      </c>
      <c r="U938" s="17">
        <f>ROUND($B938*U$889,2)</f>
        <v>0</v>
      </c>
      <c r="V938" s="8">
        <f>ROUND($B938*V$885,2)</f>
        <v>0</v>
      </c>
      <c r="W938" s="17">
        <f>ROUND($B938*W$889,2)</f>
        <v>0</v>
      </c>
      <c r="X938" s="17">
        <f>ROUND($B938*X$889,2)</f>
        <v>0</v>
      </c>
      <c r="Y938" s="17">
        <f>ROUND($B938*Y$889,2)</f>
        <v>0</v>
      </c>
      <c r="Z938" s="17">
        <f>ROUND($B938*Z$889,2)</f>
        <v>0</v>
      </c>
      <c r="AA938" s="17">
        <f>ROUND($B938*AA$889,2)</f>
        <v>0</v>
      </c>
      <c r="AB938" s="19">
        <f>SUM(U$889:AA$889)+(-V$889+V922)</f>
        <v>2.3760000000000005E-3</v>
      </c>
      <c r="AC938" s="78" t="str">
        <f>+F938</f>
        <v>HL30</v>
      </c>
    </row>
    <row r="939" spans="1:29" ht="13" x14ac:dyDescent="0.3">
      <c r="A939" s="9"/>
      <c r="B939" s="111">
        <v>-1</v>
      </c>
      <c r="D939" s="8"/>
      <c r="E939" s="9"/>
      <c r="F939" s="37"/>
      <c r="G939" s="12"/>
      <c r="H939" s="12"/>
      <c r="J939" s="12"/>
      <c r="K939" s="12"/>
      <c r="L939" s="12"/>
      <c r="M939" s="12"/>
      <c r="N939" s="12"/>
      <c r="O939" s="12"/>
      <c r="P939" s="12"/>
      <c r="Q939" s="12"/>
      <c r="R939" s="39" t="e">
        <f>VLOOKUP((D940),'Pwr Factor'!$A$1:$B$52,2)</f>
        <v>#N/A</v>
      </c>
      <c r="S939" s="51">
        <v>0.1</v>
      </c>
      <c r="T939" s="12"/>
      <c r="U939" s="12"/>
      <c r="V939" s="12"/>
      <c r="W939" s="12"/>
      <c r="X939" s="12"/>
      <c r="Y939" s="12"/>
      <c r="Z939" s="12"/>
      <c r="AA939" s="12"/>
    </row>
    <row r="940" spans="1:29" ht="13" x14ac:dyDescent="0.3">
      <c r="A940" s="57" t="s">
        <v>173</v>
      </c>
      <c r="B940" s="111">
        <f>IF(AND('AES Indiana Sep 23 Bill Calc.'!$D$17="HL3",'AES Indiana Sep 23 Bill Calc.'!$D$18="Yes 10%",'AES Indiana Sep 23 Bill Calc.'!$D$20="Yes 2020"),'AES Indiana Sep 23 Bill Calc.'!$D$19,-1)</f>
        <v>-1</v>
      </c>
      <c r="C940" s="111">
        <f>MAX(E940,$C$701)</f>
        <v>2000</v>
      </c>
      <c r="D940" s="111" t="b">
        <f>IF(AND('AES Indiana Sep 23 Bill Calc.'!$D$17="HL3",'AES Indiana Sep 23 Bill Calc.'!$D$18="Yes 10%",'AES Indiana Sep 23 Bill Calc.'!$D$20="Yes 2020"),'AES Indiana Sep 23 Bill Calc.'!$D$22)</f>
        <v>0</v>
      </c>
      <c r="E940" s="111" t="b">
        <f>IF(AND('AES Indiana Sep 23 Bill Calc.'!$D$17="HL3",'AES Indiana Sep 23 Bill Calc.'!$D$18="Yes 10%",'AES Indiana Sep 23 Bill Calc.'!$D$20="Yes 2020"),'AES Indiana Sep 23 Bill Calc.'!$D$21)</f>
        <v>0</v>
      </c>
      <c r="F940" s="37" t="s">
        <v>156</v>
      </c>
      <c r="G940" s="113" t="e">
        <f>SUM(J940:M940,R940:AA940)</f>
        <v>#N/A</v>
      </c>
      <c r="H940" s="19" t="e">
        <f>IF(ISBLANK(B940),0,+#REF!/B940)</f>
        <v>#REF!</v>
      </c>
      <c r="J940" s="53">
        <f>IF(ISBLANK(B940),0,+J$889)</f>
        <v>492.51</v>
      </c>
      <c r="K940" s="17">
        <f>ROUND($B940*K$889,2)</f>
        <v>-0.03</v>
      </c>
      <c r="L940" s="17">
        <f>IF(ISBLANK($C940),0,IF($C940&lt;$C$890,ROUND($C$890*$L$889,2),IF($C940&gt;L$890,ROUND(L$890*L$889,2),ROUND($C940*L$889,2))))</f>
        <v>42600</v>
      </c>
      <c r="M940" s="17">
        <f>IF($C940&gt;L$890,ROUND(($C940-L$890)*M$889,2),0)</f>
        <v>0</v>
      </c>
      <c r="N940" s="17">
        <f>K940</f>
        <v>-0.03</v>
      </c>
      <c r="O940" s="17"/>
      <c r="P940" s="17"/>
      <c r="Q940" s="17">
        <f>SUM(L940:M940)</f>
        <v>42600</v>
      </c>
      <c r="R940" s="16" t="e">
        <f>ROUND(SUM(K940:M940)*(R939-1),2)</f>
        <v>#N/A</v>
      </c>
      <c r="S940" s="17">
        <f>ROUND($B940*S$889*S939,2)</f>
        <v>0</v>
      </c>
      <c r="T940" s="17">
        <f>ROUND($B940*T$889,2)</f>
        <v>0</v>
      </c>
      <c r="U940" s="17">
        <f>ROUND($B940*U$889,2)</f>
        <v>0</v>
      </c>
      <c r="V940" s="8">
        <f>ROUND($B940*V$885,2)</f>
        <v>0</v>
      </c>
      <c r="W940" s="17">
        <f>ROUND($B940*W$889,2)</f>
        <v>0</v>
      </c>
      <c r="X940" s="17">
        <f>ROUND($B940*X$889,2)</f>
        <v>0</v>
      </c>
      <c r="Y940" s="17">
        <f>ROUND($B940*Y$889,2)</f>
        <v>0</v>
      </c>
      <c r="Z940" s="17">
        <f>ROUND($B940*Z$889,2)</f>
        <v>0</v>
      </c>
      <c r="AA940" s="17">
        <f>ROUND($B940*AA$889,2)</f>
        <v>0</v>
      </c>
      <c r="AB940" s="19">
        <f>SUM(U$889:AA$889)+(-V$889+V924)</f>
        <v>2.3760000000000005E-3</v>
      </c>
      <c r="AC940" s="78" t="str">
        <f>+F940</f>
        <v>HL30</v>
      </c>
    </row>
    <row r="941" spans="1:29" ht="13" x14ac:dyDescent="0.3">
      <c r="A941" s="9"/>
      <c r="B941" s="111">
        <v>-1</v>
      </c>
      <c r="D941" s="8"/>
      <c r="E941" s="9"/>
      <c r="F941" s="37"/>
      <c r="G941" s="12"/>
      <c r="H941" s="12"/>
      <c r="J941" s="12"/>
      <c r="K941" s="12"/>
      <c r="L941" s="12"/>
      <c r="M941" s="12"/>
      <c r="N941" s="12"/>
      <c r="O941" s="12"/>
      <c r="P941" s="12"/>
      <c r="Q941" s="12"/>
      <c r="R941" s="39" t="e">
        <f>VLOOKUP((D942),'Pwr Factor'!$A$1:$B$52,2)</f>
        <v>#N/A</v>
      </c>
      <c r="S941" s="51">
        <v>0</v>
      </c>
      <c r="T941" s="12"/>
      <c r="U941" s="12"/>
      <c r="V941" s="12"/>
      <c r="W941" s="12"/>
      <c r="X941" s="12"/>
      <c r="Y941" s="12"/>
      <c r="Z941" s="12"/>
      <c r="AA941" s="12"/>
    </row>
    <row r="942" spans="1:29" ht="13" x14ac:dyDescent="0.3">
      <c r="A942" s="57" t="s">
        <v>172</v>
      </c>
      <c r="B942" s="111">
        <f>IF(AND('AES Indiana Sep 23 Bill Calc.'!$D$17="HL3",'AES Indiana Sep 23 Bill Calc.'!$D$18="No",'AES Indiana Sep 23 Bill Calc.'!$D$20="Yes 2020"),'AES Indiana Sep 23 Bill Calc.'!$D$19,-1)</f>
        <v>-1</v>
      </c>
      <c r="C942" s="111">
        <f>MAX(E942,$C$701)</f>
        <v>2000</v>
      </c>
      <c r="D942" s="111" t="b">
        <f>IF(AND('AES Indiana Sep 23 Bill Calc.'!$D$17="HL3",'AES Indiana Sep 23 Bill Calc.'!$D$18="No",'AES Indiana Sep 23 Bill Calc.'!$D$20="Yes 2020"),'AES Indiana Sep 23 Bill Calc.'!$D$22)</f>
        <v>0</v>
      </c>
      <c r="E942" s="111" t="b">
        <f>IF(AND('AES Indiana Sep 23 Bill Calc.'!$D$17="HL3",'AES Indiana Sep 23 Bill Calc.'!$D$18="No",'AES Indiana Sep 23 Bill Calc.'!$D$20="Yes 2020"),'AES Indiana Sep 23 Bill Calc.'!$D$21)</f>
        <v>0</v>
      </c>
      <c r="F942" s="37" t="s">
        <v>156</v>
      </c>
      <c r="G942" s="113" t="e">
        <f>SUM(J942:M942,R942:AA942)</f>
        <v>#N/A</v>
      </c>
      <c r="H942" s="19" t="e">
        <f>IF(ISBLANK(B942),0,+#REF!/B942)</f>
        <v>#REF!</v>
      </c>
      <c r="J942" s="53">
        <f>IF(ISBLANK(B942),0,+J$889)</f>
        <v>492.51</v>
      </c>
      <c r="K942" s="17">
        <f>ROUND($B942*K$889,2)</f>
        <v>-0.03</v>
      </c>
      <c r="L942" s="17">
        <f>IF(ISBLANK($C942),0,IF($C942&lt;$C$890,ROUND($C$890*$L$889,2),IF($C942&gt;L$890,ROUND(L$890*L$889,2),ROUND($C942*L$889,2))))</f>
        <v>42600</v>
      </c>
      <c r="M942" s="17">
        <f>IF($C942&gt;L$890,ROUND(($C942-L$890)*M$889,2),0)</f>
        <v>0</v>
      </c>
      <c r="N942" s="17">
        <f>K942</f>
        <v>-0.03</v>
      </c>
      <c r="O942" s="17"/>
      <c r="P942" s="17"/>
      <c r="Q942" s="17">
        <f>SUM(L942:M942)</f>
        <v>42600</v>
      </c>
      <c r="R942" s="16" t="e">
        <f>ROUND(SUM(K942:M942)*(R941-1),2)</f>
        <v>#N/A</v>
      </c>
      <c r="S942" s="17">
        <f>ROUND($B942*S$889*S941,2)</f>
        <v>0</v>
      </c>
      <c r="T942" s="17">
        <f>ROUND($B942*T$889,2)</f>
        <v>0</v>
      </c>
      <c r="U942" s="17">
        <f>ROUND($B942*U$889,2)</f>
        <v>0</v>
      </c>
      <c r="V942" s="8">
        <f>ROUND($B942*V$885,2)</f>
        <v>0</v>
      </c>
      <c r="W942" s="17">
        <f>ROUND($B942*W$889,2)</f>
        <v>0</v>
      </c>
      <c r="X942" s="17">
        <f>ROUND($B942*X$889,2)</f>
        <v>0</v>
      </c>
      <c r="Y942" s="17">
        <f>ROUND($B942*Y$889,2)</f>
        <v>0</v>
      </c>
      <c r="Z942" s="17">
        <f>ROUND($B942*Z$889,2)</f>
        <v>0</v>
      </c>
      <c r="AA942" s="17">
        <f>ROUND($B942*AA$889,2)</f>
        <v>0</v>
      </c>
      <c r="AB942" s="19">
        <f>SUM(U$889:AA$889)+(-V$889+V926)</f>
        <v>2.3760000000000005E-3</v>
      </c>
      <c r="AC942" s="78" t="str">
        <f>+F942</f>
        <v>HL30</v>
      </c>
    </row>
    <row r="943" spans="1:29" ht="13" x14ac:dyDescent="0.3">
      <c r="A943" s="49"/>
      <c r="B943" s="111">
        <v>-1</v>
      </c>
      <c r="D943" s="8"/>
      <c r="E943" s="9"/>
      <c r="F943" s="37"/>
      <c r="G943" s="12"/>
      <c r="H943" s="12"/>
      <c r="J943" s="12"/>
      <c r="K943" s="12"/>
      <c r="L943" s="12"/>
      <c r="M943" s="12"/>
      <c r="N943" s="12"/>
      <c r="O943" s="12"/>
      <c r="P943" s="12"/>
      <c r="Q943" s="12"/>
      <c r="R943" s="39" t="e">
        <f>VLOOKUP((D944),'Pwr Factor'!$A$1:$B$52,2)</f>
        <v>#N/A</v>
      </c>
      <c r="S943" s="51">
        <v>1</v>
      </c>
      <c r="T943" s="12"/>
      <c r="U943" s="12"/>
      <c r="V943" s="12"/>
      <c r="W943" s="12"/>
      <c r="X943" s="12"/>
      <c r="Y943" s="12"/>
      <c r="Z943" s="12"/>
      <c r="AA943" s="12"/>
    </row>
    <row r="944" spans="1:29" ht="13" x14ac:dyDescent="0.3">
      <c r="A944" s="1" t="s">
        <v>73</v>
      </c>
      <c r="B944" s="111">
        <f>IF(AND('AES Indiana Sep 23 Bill Calc.'!$D$17="HL3",'AES Indiana Sep 23 Bill Calc.'!$D$18="Yes 100%",'AES Indiana Sep 23 Bill Calc.'!$D$20="Yes 2021"),'AES Indiana Sep 23 Bill Calc.'!$D$19,-1)</f>
        <v>-1</v>
      </c>
      <c r="C944" s="111">
        <f>MAX(E944,$C$701)</f>
        <v>2000</v>
      </c>
      <c r="D944" s="111" t="b">
        <f>IF(AND('AES Indiana Sep 23 Bill Calc.'!$D$17="HL3",'AES Indiana Sep 23 Bill Calc.'!$D$18="Yes 100%",'AES Indiana Sep 23 Bill Calc.'!$D$20="Yes 2021"),'AES Indiana Sep 23 Bill Calc.'!$D$22)</f>
        <v>0</v>
      </c>
      <c r="E944" s="111" t="b">
        <f>IF(AND('AES Indiana Sep 23 Bill Calc.'!$D$17="HL3",'AES Indiana Sep 23 Bill Calc.'!$D$18="Yes 100%",'AES Indiana Sep 23 Bill Calc.'!$D$20="Yes 2021"),'AES Indiana Sep 23 Bill Calc.'!$D$21)</f>
        <v>0</v>
      </c>
      <c r="F944" s="37" t="s">
        <v>194</v>
      </c>
      <c r="G944" s="113" t="e">
        <f>SUM(J944:M944,R944:AA944)</f>
        <v>#N/A</v>
      </c>
      <c r="H944" s="19" t="e">
        <f>IF(ISBLANK(B944),0,+#REF!/B944)</f>
        <v>#REF!</v>
      </c>
      <c r="J944" s="53">
        <f>IF(ISBLANK(B944),0,+J$889)</f>
        <v>492.51</v>
      </c>
      <c r="K944" s="17">
        <f>ROUND($B944*K$889,2)</f>
        <v>-0.03</v>
      </c>
      <c r="L944" s="17">
        <f>IF(ISBLANK($C944),0,IF($C944&lt;$C$890,ROUND($C$890*$L$889,2),IF($C944&gt;L$890,ROUND(L$890*L$889,2),ROUND($C944*L$889,2))))</f>
        <v>42600</v>
      </c>
      <c r="M944" s="17">
        <f>IF($C944&gt;L$890,ROUND(($C944-L$890)*M$889,2),0)</f>
        <v>0</v>
      </c>
      <c r="N944" s="17">
        <f>K944</f>
        <v>-0.03</v>
      </c>
      <c r="O944" s="17"/>
      <c r="P944" s="17"/>
      <c r="Q944" s="17">
        <f>SUM(L944:M944)</f>
        <v>42600</v>
      </c>
      <c r="R944" s="16" t="e">
        <f>ROUND(SUM(K944:M944)*(R943-1),2)</f>
        <v>#N/A</v>
      </c>
      <c r="S944" s="17">
        <f>ROUND($B944*S$889*S943,2)</f>
        <v>0</v>
      </c>
      <c r="T944" s="17">
        <f>ROUND($B944*T$889,2)</f>
        <v>0</v>
      </c>
      <c r="U944" s="17">
        <f>ROUND($B944*U$889,2)</f>
        <v>0</v>
      </c>
      <c r="V944" s="8">
        <f>ROUND($B944*V$886,2)</f>
        <v>0</v>
      </c>
      <c r="W944" s="17">
        <f>ROUND($B944*W$889,2)</f>
        <v>0</v>
      </c>
      <c r="X944" s="17">
        <f>ROUND($B944*X$889,2)</f>
        <v>0</v>
      </c>
      <c r="Y944" s="17">
        <f>ROUND($B944*Y$889,2)</f>
        <v>0</v>
      </c>
      <c r="Z944" s="17">
        <f>ROUND($B944*Z$889,2)</f>
        <v>0</v>
      </c>
      <c r="AA944" s="17">
        <f>ROUND($B944*AA$889,2)</f>
        <v>0</v>
      </c>
      <c r="AB944" s="19">
        <f>SUM(U$889:AA$889)+(-V$889+V928)</f>
        <v>2.3760000000000005E-3</v>
      </c>
      <c r="AC944" s="78" t="str">
        <f>+F944</f>
        <v>HL31</v>
      </c>
    </row>
    <row r="945" spans="1:29" ht="13" x14ac:dyDescent="0.3">
      <c r="A945" s="49"/>
      <c r="B945" s="111">
        <v>-1</v>
      </c>
      <c r="D945" s="8"/>
      <c r="E945" s="9"/>
      <c r="F945" s="37"/>
      <c r="G945" s="12"/>
      <c r="H945" s="12"/>
      <c r="J945" s="12"/>
      <c r="K945" s="12"/>
      <c r="L945" s="12"/>
      <c r="M945" s="12"/>
      <c r="N945" s="12"/>
      <c r="O945" s="12"/>
      <c r="P945" s="12"/>
      <c r="Q945" s="12"/>
      <c r="R945" s="39" t="e">
        <f>VLOOKUP((D946),'Pwr Factor'!$A$1:$B$52,2)</f>
        <v>#N/A</v>
      </c>
      <c r="S945" s="51">
        <v>0.5</v>
      </c>
      <c r="T945" s="12"/>
      <c r="U945" s="12"/>
      <c r="V945" s="12"/>
      <c r="W945" s="12"/>
      <c r="X945" s="12"/>
      <c r="Y945" s="12"/>
      <c r="Z945" s="12"/>
      <c r="AA945" s="12"/>
    </row>
    <row r="946" spans="1:29" ht="13" x14ac:dyDescent="0.3">
      <c r="A946" s="57" t="s">
        <v>171</v>
      </c>
      <c r="B946" s="111">
        <f>IF(AND('AES Indiana Sep 23 Bill Calc.'!$D$17="HL3",'AES Indiana Sep 23 Bill Calc.'!$D$18="Yes 50%",'AES Indiana Sep 23 Bill Calc.'!$D$20="Yes 2021"),'AES Indiana Sep 23 Bill Calc.'!$D$19,-1)</f>
        <v>-1</v>
      </c>
      <c r="C946" s="111">
        <f>MAX(E946,$C$701)</f>
        <v>2000</v>
      </c>
      <c r="D946" s="111" t="b">
        <f>IF(AND('AES Indiana Sep 23 Bill Calc.'!$D$17="HL3",'AES Indiana Sep 23 Bill Calc.'!$D$18="Yes 50%",'AES Indiana Sep 23 Bill Calc.'!$D$20="Yes 2021"),'AES Indiana Sep 23 Bill Calc.'!$D$22)</f>
        <v>0</v>
      </c>
      <c r="E946" s="111" t="b">
        <f>IF(AND('AES Indiana Sep 23 Bill Calc.'!$D$17="HL3",'AES Indiana Sep 23 Bill Calc.'!$D$18="Yes 50%",'AES Indiana Sep 23 Bill Calc.'!$D$20="Yes 2021"),'AES Indiana Sep 23 Bill Calc.'!$D$21)</f>
        <v>0</v>
      </c>
      <c r="F946" s="37" t="s">
        <v>194</v>
      </c>
      <c r="G946" s="113" t="e">
        <f>SUM(J946:M946,R946:AA946)</f>
        <v>#N/A</v>
      </c>
      <c r="H946" s="19" t="e">
        <f>IF(ISBLANK(B946),0,+#REF!/B946)</f>
        <v>#REF!</v>
      </c>
      <c r="J946" s="53">
        <f>IF(ISBLANK(B946),0,+J$889)</f>
        <v>492.51</v>
      </c>
      <c r="K946" s="17">
        <f>ROUND($B946*K$889,2)</f>
        <v>-0.03</v>
      </c>
      <c r="L946" s="17">
        <f>IF(ISBLANK($C946),0,IF($C946&lt;$C$890,ROUND($C$890*$L$889,2),IF($C946&gt;L$890,ROUND(L$890*L$889,2),ROUND($C946*L$889,2))))</f>
        <v>42600</v>
      </c>
      <c r="M946" s="17">
        <f>IF($C946&gt;L$890,ROUND(($C946-L$890)*M$889,2),0)</f>
        <v>0</v>
      </c>
      <c r="N946" s="17">
        <f>K946</f>
        <v>-0.03</v>
      </c>
      <c r="O946" s="17"/>
      <c r="P946" s="17"/>
      <c r="Q946" s="17">
        <f>SUM(L946:M946)</f>
        <v>42600</v>
      </c>
      <c r="R946" s="16" t="e">
        <f>ROUND(SUM(K946:M946)*(R945-1),2)</f>
        <v>#N/A</v>
      </c>
      <c r="S946" s="17">
        <f>ROUND($B946*S$889*S945,2)</f>
        <v>0</v>
      </c>
      <c r="T946" s="17">
        <f>ROUND($B946*T$889,2)</f>
        <v>0</v>
      </c>
      <c r="U946" s="17">
        <f>ROUND($B946*U$889,2)</f>
        <v>0</v>
      </c>
      <c r="V946" s="8">
        <f>ROUND($B946*V$886,2)</f>
        <v>0</v>
      </c>
      <c r="W946" s="17">
        <f>ROUND($B946*W$889,2)</f>
        <v>0</v>
      </c>
      <c r="X946" s="17">
        <f>ROUND($B946*X$889,2)</f>
        <v>0</v>
      </c>
      <c r="Y946" s="17">
        <f>ROUND($B946*Y$889,2)</f>
        <v>0</v>
      </c>
      <c r="Z946" s="17">
        <f>ROUND($B946*Z$889,2)</f>
        <v>0</v>
      </c>
      <c r="AA946" s="17">
        <f>ROUND($B946*AA$889,2)</f>
        <v>0</v>
      </c>
      <c r="AB946" s="19">
        <f>SUM(U$889:AA$889)+(-V$889+V930)</f>
        <v>2.3760000000000005E-3</v>
      </c>
      <c r="AC946" s="78" t="str">
        <f>+F946</f>
        <v>HL31</v>
      </c>
    </row>
    <row r="947" spans="1:29" ht="13" x14ac:dyDescent="0.3">
      <c r="A947" s="9"/>
      <c r="B947" s="111">
        <v>-1</v>
      </c>
      <c r="D947" s="8"/>
      <c r="E947" s="9"/>
      <c r="F947" s="37"/>
      <c r="G947" s="12"/>
      <c r="H947" s="12"/>
      <c r="J947" s="12"/>
      <c r="K947" s="12"/>
      <c r="L947" s="12"/>
      <c r="M947" s="12"/>
      <c r="N947" s="12"/>
      <c r="O947" s="12"/>
      <c r="P947" s="12"/>
      <c r="Q947" s="12"/>
      <c r="R947" s="39" t="e">
        <f>VLOOKUP((D948),'Pwr Factor'!$A$1:$B$52,2)</f>
        <v>#N/A</v>
      </c>
      <c r="S947" s="51">
        <v>0.25</v>
      </c>
      <c r="T947" s="12"/>
      <c r="U947" s="12"/>
      <c r="V947" s="12"/>
      <c r="W947" s="12"/>
      <c r="X947" s="12"/>
      <c r="Y947" s="12"/>
      <c r="Z947" s="12"/>
      <c r="AA947" s="12"/>
    </row>
    <row r="948" spans="1:29" ht="13" x14ac:dyDescent="0.3">
      <c r="A948" s="57" t="s">
        <v>158</v>
      </c>
      <c r="B948" s="111">
        <f>IF(AND('AES Indiana Sep 23 Bill Calc.'!$D$17="HL3",'AES Indiana Sep 23 Bill Calc.'!$D$18="Yes 25%",'AES Indiana Sep 23 Bill Calc.'!$D$20="Yes 2021"),'AES Indiana Sep 23 Bill Calc.'!$D$19,-1)</f>
        <v>-1</v>
      </c>
      <c r="C948" s="111">
        <f>MAX(E948,$C$701)</f>
        <v>2000</v>
      </c>
      <c r="D948" s="111" t="b">
        <f>IF(AND('AES Indiana Sep 23 Bill Calc.'!$D$17="HL3",'AES Indiana Sep 23 Bill Calc.'!$D$18="Yes 25%",'AES Indiana Sep 23 Bill Calc.'!$D$20="Yes 2021"),'AES Indiana Sep 23 Bill Calc.'!$D$22)</f>
        <v>0</v>
      </c>
      <c r="E948" s="111" t="b">
        <f>IF(AND('AES Indiana Sep 23 Bill Calc.'!$D$17="HL3",'AES Indiana Sep 23 Bill Calc.'!$D$18="Yes 25%",'AES Indiana Sep 23 Bill Calc.'!$D$20="Yes 2021"),'AES Indiana Sep 23 Bill Calc.'!$D$21)</f>
        <v>0</v>
      </c>
      <c r="F948" s="37" t="s">
        <v>194</v>
      </c>
      <c r="G948" s="113" t="e">
        <f>SUM(J948:M948,R948:AA948)</f>
        <v>#N/A</v>
      </c>
      <c r="H948" s="19" t="e">
        <f>IF(ISBLANK(B948),0,+#REF!/B948)</f>
        <v>#REF!</v>
      </c>
      <c r="J948" s="53">
        <f>IF(ISBLANK(B948),0,+J$889)</f>
        <v>492.51</v>
      </c>
      <c r="K948" s="17">
        <f>ROUND($B948*K$889,2)</f>
        <v>-0.03</v>
      </c>
      <c r="L948" s="17">
        <f>IF(ISBLANK($C948),0,IF($C948&lt;$C$890,ROUND($C$890*$L$889,2),IF($C948&gt;L$890,ROUND(L$890*L$889,2),ROUND($C948*L$889,2))))</f>
        <v>42600</v>
      </c>
      <c r="M948" s="17">
        <f>IF($C948&gt;L$890,ROUND(($C948-L$890)*M$889,2),0)</f>
        <v>0</v>
      </c>
      <c r="N948" s="17">
        <f>K948</f>
        <v>-0.03</v>
      </c>
      <c r="O948" s="17"/>
      <c r="P948" s="17"/>
      <c r="Q948" s="17">
        <f>SUM(L948:M948)</f>
        <v>42600</v>
      </c>
      <c r="R948" s="16" t="e">
        <f>ROUND(SUM(K948:M948)*(R947-1),2)</f>
        <v>#N/A</v>
      </c>
      <c r="S948" s="17">
        <f>ROUND($B948*S$889*S947,2)</f>
        <v>0</v>
      </c>
      <c r="T948" s="17">
        <f>ROUND($B948*T$889,2)</f>
        <v>0</v>
      </c>
      <c r="U948" s="17">
        <f>ROUND($B948*U$889,2)</f>
        <v>0</v>
      </c>
      <c r="V948" s="8">
        <f>ROUND($B948*V$886,2)</f>
        <v>0</v>
      </c>
      <c r="W948" s="17">
        <f>ROUND($B948*W$889,2)</f>
        <v>0</v>
      </c>
      <c r="X948" s="17">
        <f>ROUND($B948*X$889,2)</f>
        <v>0</v>
      </c>
      <c r="Y948" s="17">
        <f>ROUND($B948*Y$889,2)</f>
        <v>0</v>
      </c>
      <c r="Z948" s="17">
        <f>ROUND($B948*Z$889,2)</f>
        <v>0</v>
      </c>
      <c r="AA948" s="17">
        <f>ROUND($B948*AA$889,2)</f>
        <v>0</v>
      </c>
      <c r="AB948" s="19">
        <f>SUM(U$889:AA$889)+(-V$889+V932)</f>
        <v>2.3760000000000005E-3</v>
      </c>
      <c r="AC948" s="78" t="str">
        <f>+F948</f>
        <v>HL31</v>
      </c>
    </row>
    <row r="949" spans="1:29" ht="13" x14ac:dyDescent="0.3">
      <c r="A949" s="9"/>
      <c r="B949" s="111">
        <v>-1</v>
      </c>
      <c r="D949" s="8"/>
      <c r="E949" s="9"/>
      <c r="F949" s="37"/>
      <c r="G949" s="12"/>
      <c r="H949" s="12"/>
      <c r="J949" s="12"/>
      <c r="K949" s="12"/>
      <c r="L949" s="12"/>
      <c r="M949" s="12"/>
      <c r="N949" s="12"/>
      <c r="O949" s="12"/>
      <c r="P949" s="12"/>
      <c r="Q949" s="12"/>
      <c r="R949" s="39" t="e">
        <f>VLOOKUP((D950),'Pwr Factor'!$A$1:$B$52,2)</f>
        <v>#N/A</v>
      </c>
      <c r="S949" s="51">
        <v>0.1</v>
      </c>
      <c r="T949" s="12"/>
      <c r="U949" s="12"/>
      <c r="V949" s="12"/>
      <c r="W949" s="12"/>
      <c r="X949" s="12"/>
      <c r="Y949" s="12"/>
      <c r="Z949" s="12"/>
      <c r="AA949" s="12"/>
    </row>
    <row r="950" spans="1:29" ht="13" x14ac:dyDescent="0.3">
      <c r="A950" s="57" t="s">
        <v>173</v>
      </c>
      <c r="B950" s="111">
        <f>IF(AND('AES Indiana Sep 23 Bill Calc.'!$D$17="HL3",'AES Indiana Sep 23 Bill Calc.'!$D$18="Yes 10%",'AES Indiana Sep 23 Bill Calc.'!$D$20="Yes 2021"),'AES Indiana Sep 23 Bill Calc.'!$D$19,-1)</f>
        <v>-1</v>
      </c>
      <c r="C950" s="111">
        <f>MAX(E950,$C$701)</f>
        <v>2000</v>
      </c>
      <c r="D950" s="111" t="b">
        <f>IF(AND('AES Indiana Sep 23 Bill Calc.'!$D$17="HL3",'AES Indiana Sep 23 Bill Calc.'!$D$18="Yes 10%",'AES Indiana Sep 23 Bill Calc.'!$D$20="Yes 2021"),'AES Indiana Sep 23 Bill Calc.'!$D$22)</f>
        <v>0</v>
      </c>
      <c r="E950" s="111" t="b">
        <f>IF(AND('AES Indiana Sep 23 Bill Calc.'!$D$17="HL3",'AES Indiana Sep 23 Bill Calc.'!$D$18="Yes 10%",'AES Indiana Sep 23 Bill Calc.'!$D$20="Yes 2021"),'AES Indiana Sep 23 Bill Calc.'!$D$21)</f>
        <v>0</v>
      </c>
      <c r="F950" s="37" t="s">
        <v>194</v>
      </c>
      <c r="G950" s="113" t="e">
        <f>SUM(J950:M950,R950:AA950)</f>
        <v>#N/A</v>
      </c>
      <c r="H950" s="19" t="e">
        <f>IF(ISBLANK(B950),0,+#REF!/B950)</f>
        <v>#REF!</v>
      </c>
      <c r="J950" s="53">
        <f>IF(ISBLANK(B950),0,+J$889)</f>
        <v>492.51</v>
      </c>
      <c r="K950" s="17">
        <f>ROUND($B950*K$889,2)</f>
        <v>-0.03</v>
      </c>
      <c r="L950" s="17">
        <f>IF(ISBLANK($C950),0,IF($C950&lt;$C$890,ROUND($C$890*$L$889,2),IF($C950&gt;L$890,ROUND(L$890*L$889,2),ROUND($C950*L$889,2))))</f>
        <v>42600</v>
      </c>
      <c r="M950" s="17">
        <f>IF($C950&gt;L$890,ROUND(($C950-L$890)*M$889,2),0)</f>
        <v>0</v>
      </c>
      <c r="N950" s="17">
        <f>K950</f>
        <v>-0.03</v>
      </c>
      <c r="O950" s="17"/>
      <c r="P950" s="17"/>
      <c r="Q950" s="17">
        <f>SUM(L950:M950)</f>
        <v>42600</v>
      </c>
      <c r="R950" s="16" t="e">
        <f>ROUND(SUM(K950:M950)*(R949-1),2)</f>
        <v>#N/A</v>
      </c>
      <c r="S950" s="17">
        <f>ROUND($B950*S$889*S949,2)</f>
        <v>0</v>
      </c>
      <c r="T950" s="17">
        <f>ROUND($B950*T$889,2)</f>
        <v>0</v>
      </c>
      <c r="U950" s="17">
        <f>ROUND($B950*U$889,2)</f>
        <v>0</v>
      </c>
      <c r="V950" s="8">
        <f>ROUND($B950*V$886,2)</f>
        <v>0</v>
      </c>
      <c r="W950" s="17">
        <f>ROUND($B950*W$889,2)</f>
        <v>0</v>
      </c>
      <c r="X950" s="17">
        <f>ROUND($B950*X$889,2)</f>
        <v>0</v>
      </c>
      <c r="Y950" s="17">
        <f>ROUND($B950*Y$889,2)</f>
        <v>0</v>
      </c>
      <c r="Z950" s="17">
        <f>ROUND($B950*Z$889,2)</f>
        <v>0</v>
      </c>
      <c r="AA950" s="17">
        <f>ROUND($B950*AA$889,2)</f>
        <v>0</v>
      </c>
      <c r="AB950" s="19">
        <f>SUM(U$889:AA$889)+(-V$889+V934)</f>
        <v>2.3760000000000005E-3</v>
      </c>
      <c r="AC950" s="78" t="str">
        <f>+F950</f>
        <v>HL31</v>
      </c>
    </row>
    <row r="951" spans="1:29" ht="13" x14ac:dyDescent="0.3">
      <c r="A951" s="9"/>
      <c r="B951" s="111">
        <v>-1</v>
      </c>
      <c r="D951" s="8"/>
      <c r="E951" s="9"/>
      <c r="F951" s="37"/>
      <c r="G951" s="12"/>
      <c r="H951" s="12"/>
      <c r="J951" s="12"/>
      <c r="K951" s="12"/>
      <c r="L951" s="12"/>
      <c r="M951" s="12"/>
      <c r="N951" s="12"/>
      <c r="O951" s="12"/>
      <c r="P951" s="12"/>
      <c r="Q951" s="12"/>
      <c r="R951" s="39" t="e">
        <f>VLOOKUP((D952),'Pwr Factor'!$A$1:$B$52,2)</f>
        <v>#N/A</v>
      </c>
      <c r="S951" s="51">
        <v>0</v>
      </c>
      <c r="T951" s="12"/>
      <c r="U951" s="12"/>
      <c r="V951" s="12"/>
      <c r="W951" s="12"/>
      <c r="X951" s="12"/>
      <c r="Y951" s="12"/>
      <c r="Z951" s="12"/>
      <c r="AA951" s="12"/>
    </row>
    <row r="952" spans="1:29" ht="13" x14ac:dyDescent="0.3">
      <c r="A952" s="57" t="s">
        <v>172</v>
      </c>
      <c r="B952" s="111">
        <f>IF(AND('AES Indiana Sep 23 Bill Calc.'!$D$17="HL3",'AES Indiana Sep 23 Bill Calc.'!$D$18="No",'AES Indiana Sep 23 Bill Calc.'!$D$20="Yes 2021"),'AES Indiana Sep 23 Bill Calc.'!$D$19,-1)</f>
        <v>-1</v>
      </c>
      <c r="C952" s="111">
        <f>MAX(E952,$C$701)</f>
        <v>2000</v>
      </c>
      <c r="D952" s="111" t="b">
        <f>IF(AND('AES Indiana Sep 23 Bill Calc.'!$D$17="HL3",'AES Indiana Sep 23 Bill Calc.'!$D$18="No",'AES Indiana Sep 23 Bill Calc.'!$D$20="Yes 2021"),'AES Indiana Sep 23 Bill Calc.'!$D$22)</f>
        <v>0</v>
      </c>
      <c r="E952" s="111" t="b">
        <f>IF(AND('AES Indiana Sep 23 Bill Calc.'!$D$17="HL3",'AES Indiana Sep 23 Bill Calc.'!$D$18="No",'AES Indiana Sep 23 Bill Calc.'!$D$20="Yes 2021"),'AES Indiana Sep 23 Bill Calc.'!$D$21)</f>
        <v>0</v>
      </c>
      <c r="F952" s="37" t="s">
        <v>194</v>
      </c>
      <c r="G952" s="113" t="e">
        <f>SUM(J952:M952,R952:AA952)</f>
        <v>#N/A</v>
      </c>
      <c r="H952" s="19" t="e">
        <f>IF(ISBLANK(B952),0,+#REF!/B952)</f>
        <v>#REF!</v>
      </c>
      <c r="J952" s="53">
        <f>IF(ISBLANK(B952),0,+J$889)</f>
        <v>492.51</v>
      </c>
      <c r="K952" s="17">
        <f>ROUND($B952*K$889,2)</f>
        <v>-0.03</v>
      </c>
      <c r="L952" s="17">
        <f>IF(ISBLANK($C952),0,IF($C952&lt;$C$890,ROUND($C$890*$L$889,2),IF($C952&gt;L$890,ROUND(L$890*L$889,2),ROUND($C952*L$889,2))))</f>
        <v>42600</v>
      </c>
      <c r="M952" s="17">
        <f>IF($C952&gt;L$890,ROUND(($C952-L$890)*M$889,2),0)</f>
        <v>0</v>
      </c>
      <c r="N952" s="17">
        <f>K952</f>
        <v>-0.03</v>
      </c>
      <c r="O952" s="17"/>
      <c r="P952" s="17"/>
      <c r="Q952" s="17">
        <f>SUM(L952:M952)</f>
        <v>42600</v>
      </c>
      <c r="R952" s="16" t="e">
        <f>ROUND(SUM(K952:M952)*(R951-1),2)</f>
        <v>#N/A</v>
      </c>
      <c r="S952" s="17">
        <f>ROUND($B952*S$889*S951,2)</f>
        <v>0</v>
      </c>
      <c r="T952" s="17">
        <f>ROUND($B952*T$889,2)</f>
        <v>0</v>
      </c>
      <c r="U952" s="17">
        <f>ROUND($B952*U$889,2)</f>
        <v>0</v>
      </c>
      <c r="V952" s="8">
        <f>ROUND($B952*V$886,2)</f>
        <v>0</v>
      </c>
      <c r="W952" s="17">
        <f>ROUND($B952*W$889,2)</f>
        <v>0</v>
      </c>
      <c r="X952" s="17">
        <f>ROUND($B952*X$889,2)</f>
        <v>0</v>
      </c>
      <c r="Y952" s="17">
        <f>ROUND($B952*Y$889,2)</f>
        <v>0</v>
      </c>
      <c r="Z952" s="17">
        <f>ROUND($B952*Z$889,2)</f>
        <v>0</v>
      </c>
      <c r="AA952" s="17">
        <f>ROUND($B952*AA$889,2)</f>
        <v>0</v>
      </c>
      <c r="AB952" s="19">
        <f>SUM(U$889:AA$889)+(-V$889+V936)</f>
        <v>2.3760000000000005E-3</v>
      </c>
      <c r="AC952" s="78" t="str">
        <f>+F952</f>
        <v>HL31</v>
      </c>
    </row>
    <row r="953" spans="1:29" ht="13" x14ac:dyDescent="0.3">
      <c r="A953" s="49"/>
      <c r="B953" s="111">
        <v>-1</v>
      </c>
      <c r="D953" s="8"/>
      <c r="E953" s="9"/>
      <c r="F953" s="37"/>
      <c r="G953" s="12"/>
      <c r="H953" s="12"/>
      <c r="J953" s="12"/>
      <c r="K953" s="12"/>
      <c r="L953" s="12"/>
      <c r="M953" s="12"/>
      <c r="N953" s="12"/>
      <c r="O953" s="12"/>
      <c r="P953" s="12"/>
      <c r="Q953" s="12"/>
      <c r="R953" s="39" t="e">
        <f>VLOOKUP((D954),'Pwr Factor'!$A$1:$B$52,2)</f>
        <v>#N/A</v>
      </c>
      <c r="S953" s="51">
        <v>1</v>
      </c>
      <c r="T953" s="12"/>
      <c r="U953" s="12"/>
      <c r="V953" s="12"/>
      <c r="W953" s="12"/>
      <c r="X953" s="12"/>
      <c r="Y953" s="12"/>
      <c r="Z953" s="12"/>
      <c r="AA953" s="12"/>
    </row>
    <row r="954" spans="1:29" ht="13" x14ac:dyDescent="0.3">
      <c r="A954" s="1" t="s">
        <v>73</v>
      </c>
      <c r="B954" s="111">
        <f>IF(AND('AES Indiana Sep 23 Bill Calc.'!$D$17="HL3",'AES Indiana Sep 23 Bill Calc.'!$D$18="Yes 100%",'AES Indiana Sep 23 Bill Calc.'!$D$20="Yes 2022"),'AES Indiana Sep 23 Bill Calc.'!$D$19,-1)</f>
        <v>-1</v>
      </c>
      <c r="C954" s="111">
        <f>MAX(E954,$C$701)</f>
        <v>2000</v>
      </c>
      <c r="D954" s="111" t="b">
        <f>IF(AND('AES Indiana Sep 23 Bill Calc.'!$D$17="HL3",'AES Indiana Sep 23 Bill Calc.'!$D$18="Yes 100%",'AES Indiana Sep 23 Bill Calc.'!$D$20="Yes 2022"),'AES Indiana Sep 23 Bill Calc.'!$D$22)</f>
        <v>0</v>
      </c>
      <c r="E954" s="111" t="b">
        <f>IF(AND('AES Indiana Sep 23 Bill Calc.'!$D$17="HL3",'AES Indiana Sep 23 Bill Calc.'!$D$18="Yes 100%",'AES Indiana Sep 23 Bill Calc.'!$D$20="Yes 2022"),'AES Indiana Sep 23 Bill Calc.'!$D$21)</f>
        <v>0</v>
      </c>
      <c r="F954" s="37" t="s">
        <v>194</v>
      </c>
      <c r="G954" s="113" t="e">
        <f>SUM(J954:M954,R954:AA954)</f>
        <v>#N/A</v>
      </c>
      <c r="H954" s="19" t="e">
        <f>IF(ISBLANK(B954),0,+#REF!/B954)</f>
        <v>#REF!</v>
      </c>
      <c r="J954" s="53">
        <f>IF(ISBLANK(B954),0,+J$889)</f>
        <v>492.51</v>
      </c>
      <c r="K954" s="17">
        <f>ROUND($B954*K$889,2)</f>
        <v>-0.03</v>
      </c>
      <c r="L954" s="17">
        <f>IF(ISBLANK($C954),0,IF($C954&lt;$C$890,ROUND($C$890*$L$889,2),IF($C954&gt;L$890,ROUND(L$890*L$889,2),ROUND($C954*L$889,2))))</f>
        <v>42600</v>
      </c>
      <c r="M954" s="17">
        <f>IF($C954&gt;L$890,ROUND(($C954-L$890)*M$889,2),0)</f>
        <v>0</v>
      </c>
      <c r="N954" s="17">
        <f>K954</f>
        <v>-0.03</v>
      </c>
      <c r="O954" s="17"/>
      <c r="P954" s="17"/>
      <c r="Q954" s="17">
        <f>SUM(L954:M954)</f>
        <v>42600</v>
      </c>
      <c r="R954" s="16" t="e">
        <f>ROUND(SUM(K954:M954)*(R953-1),2)</f>
        <v>#N/A</v>
      </c>
      <c r="S954" s="17">
        <f>ROUND($B954*S$889*S953,2)</f>
        <v>0</v>
      </c>
      <c r="T954" s="17">
        <f>ROUND($B954*T$889,2)</f>
        <v>0</v>
      </c>
      <c r="U954" s="17">
        <f>ROUND($B954*U$889,2)</f>
        <v>0</v>
      </c>
      <c r="V954" s="8">
        <f>ROUND($B954*V$887,2)</f>
        <v>0</v>
      </c>
      <c r="W954" s="17">
        <f>ROUND($B954*W$889,2)</f>
        <v>0</v>
      </c>
      <c r="X954" s="17">
        <f>ROUND($B954*X$889,2)</f>
        <v>0</v>
      </c>
      <c r="Y954" s="17">
        <f>ROUND($B954*Y$889,2)</f>
        <v>0</v>
      </c>
      <c r="Z954" s="17">
        <f>ROUND($B954*Z$889,2)</f>
        <v>0</v>
      </c>
      <c r="AA954" s="17">
        <f>ROUND($B954*AA$889,2)</f>
        <v>0</v>
      </c>
      <c r="AB954" s="19">
        <f>SUM(U$889:AA$889)+(-V$889+V938)</f>
        <v>2.3760000000000005E-3</v>
      </c>
      <c r="AC954" s="78" t="str">
        <f>+F954</f>
        <v>HL31</v>
      </c>
    </row>
    <row r="955" spans="1:29" ht="13" x14ac:dyDescent="0.3">
      <c r="A955" s="49"/>
      <c r="B955" s="111">
        <v>-1</v>
      </c>
      <c r="D955" s="8"/>
      <c r="E955" s="9"/>
      <c r="F955" s="37"/>
      <c r="G955" s="12"/>
      <c r="H955" s="12"/>
      <c r="J955" s="12"/>
      <c r="K955" s="12"/>
      <c r="L955" s="12"/>
      <c r="M955" s="12"/>
      <c r="N955" s="12"/>
      <c r="O955" s="12"/>
      <c r="P955" s="12"/>
      <c r="Q955" s="12"/>
      <c r="R955" s="39" t="e">
        <f>VLOOKUP((D956),'Pwr Factor'!$A$1:$B$52,2)</f>
        <v>#N/A</v>
      </c>
      <c r="S955" s="51">
        <v>0.5</v>
      </c>
      <c r="T955" s="12"/>
      <c r="U955" s="12"/>
      <c r="V955" s="12"/>
      <c r="W955" s="12"/>
      <c r="X955" s="12"/>
      <c r="Y955" s="12"/>
      <c r="Z955" s="12"/>
      <c r="AA955" s="12"/>
    </row>
    <row r="956" spans="1:29" ht="13" x14ac:dyDescent="0.3">
      <c r="A956" s="57" t="s">
        <v>171</v>
      </c>
      <c r="B956" s="111">
        <f>IF(AND('AES Indiana Sep 23 Bill Calc.'!$D$17="HL3",'AES Indiana Sep 23 Bill Calc.'!$D$18="Yes 50%",'AES Indiana Sep 23 Bill Calc.'!$D$20="Yes 2022"),'AES Indiana Sep 23 Bill Calc.'!$D$19,-1)</f>
        <v>-1</v>
      </c>
      <c r="C956" s="111">
        <f>MAX(E956,$C$701)</f>
        <v>2000</v>
      </c>
      <c r="D956" s="111" t="b">
        <f>IF(AND('AES Indiana Sep 23 Bill Calc.'!$D$17="HL3",'AES Indiana Sep 23 Bill Calc.'!$D$18="Yes 50%",'AES Indiana Sep 23 Bill Calc.'!$D$20="Yes 2022"),'AES Indiana Sep 23 Bill Calc.'!$D$22)</f>
        <v>0</v>
      </c>
      <c r="E956" s="111" t="b">
        <f>IF(AND('AES Indiana Sep 23 Bill Calc.'!$D$17="HL3",'AES Indiana Sep 23 Bill Calc.'!$D$18="Yes 50%",'AES Indiana Sep 23 Bill Calc.'!$D$20="Yes 2022"),'AES Indiana Sep 23 Bill Calc.'!$D$21)</f>
        <v>0</v>
      </c>
      <c r="F956" s="37" t="s">
        <v>194</v>
      </c>
      <c r="G956" s="113" t="e">
        <f>SUM(J956:M956,R956:AA956)</f>
        <v>#N/A</v>
      </c>
      <c r="H956" s="19" t="e">
        <f>IF(ISBLANK(B956),0,+#REF!/B956)</f>
        <v>#REF!</v>
      </c>
      <c r="J956" s="53">
        <f>IF(ISBLANK(B956),0,+J$889)</f>
        <v>492.51</v>
      </c>
      <c r="K956" s="17">
        <f>ROUND($B956*K$889,2)</f>
        <v>-0.03</v>
      </c>
      <c r="L956" s="17">
        <f>IF(ISBLANK($C956),0,IF($C956&lt;$C$890,ROUND($C$890*$L$889,2),IF($C956&gt;L$890,ROUND(L$890*L$889,2),ROUND($C956*L$889,2))))</f>
        <v>42600</v>
      </c>
      <c r="M956" s="17">
        <f>IF($C956&gt;L$890,ROUND(($C956-L$890)*M$889,2),0)</f>
        <v>0</v>
      </c>
      <c r="N956" s="17">
        <f>K956</f>
        <v>-0.03</v>
      </c>
      <c r="O956" s="17"/>
      <c r="P956" s="17"/>
      <c r="Q956" s="17">
        <f>SUM(L956:M956)</f>
        <v>42600</v>
      </c>
      <c r="R956" s="16" t="e">
        <f>ROUND(SUM(K956:M956)*(R955-1),2)</f>
        <v>#N/A</v>
      </c>
      <c r="S956" s="17">
        <f>ROUND($B956*S$889*S955,2)</f>
        <v>0</v>
      </c>
      <c r="T956" s="17">
        <f>ROUND($B956*T$889,2)</f>
        <v>0</v>
      </c>
      <c r="U956" s="17">
        <f>ROUND($B956*U$889,2)</f>
        <v>0</v>
      </c>
      <c r="V956" s="8">
        <f>ROUND($B956*V$887,2)</f>
        <v>0</v>
      </c>
      <c r="W956" s="17">
        <f>ROUND($B956*W$889,2)</f>
        <v>0</v>
      </c>
      <c r="X956" s="17">
        <f>ROUND($B956*X$889,2)</f>
        <v>0</v>
      </c>
      <c r="Y956" s="17">
        <f>ROUND($B956*Y$889,2)</f>
        <v>0</v>
      </c>
      <c r="Z956" s="17">
        <f>ROUND($B956*Z$889,2)</f>
        <v>0</v>
      </c>
      <c r="AA956" s="17">
        <f>ROUND($B956*AA$889,2)</f>
        <v>0</v>
      </c>
      <c r="AB956" s="19">
        <f>SUM(U$889:AA$889)+(-V$889+V940)</f>
        <v>2.3760000000000005E-3</v>
      </c>
      <c r="AC956" s="78" t="str">
        <f>+F956</f>
        <v>HL31</v>
      </c>
    </row>
    <row r="957" spans="1:29" ht="13" x14ac:dyDescent="0.3">
      <c r="A957" s="9"/>
      <c r="B957" s="111">
        <v>-1</v>
      </c>
      <c r="D957" s="8"/>
      <c r="E957" s="9"/>
      <c r="F957" s="37"/>
      <c r="G957" s="12"/>
      <c r="H957" s="12"/>
      <c r="J957" s="12"/>
      <c r="K957" s="12"/>
      <c r="L957" s="12"/>
      <c r="M957" s="12"/>
      <c r="N957" s="12"/>
      <c r="O957" s="12"/>
      <c r="P957" s="12"/>
      <c r="Q957" s="12"/>
      <c r="R957" s="39" t="e">
        <f>VLOOKUP((D958),'Pwr Factor'!$A$1:$B$52,2)</f>
        <v>#N/A</v>
      </c>
      <c r="S957" s="51">
        <v>0.25</v>
      </c>
      <c r="T957" s="12"/>
      <c r="U957" s="12"/>
      <c r="V957" s="12"/>
      <c r="W957" s="12"/>
      <c r="X957" s="12"/>
      <c r="Y957" s="12"/>
      <c r="Z957" s="12"/>
      <c r="AA957" s="12"/>
    </row>
    <row r="958" spans="1:29" ht="13" x14ac:dyDescent="0.3">
      <c r="A958" s="57" t="s">
        <v>158</v>
      </c>
      <c r="B958" s="111">
        <f>IF(AND('AES Indiana Sep 23 Bill Calc.'!$D$17="HL3",'AES Indiana Sep 23 Bill Calc.'!$D$18="Yes 25%",'AES Indiana Sep 23 Bill Calc.'!$D$20="Yes 2022"),'AES Indiana Sep 23 Bill Calc.'!$D$19,-1)</f>
        <v>-1</v>
      </c>
      <c r="C958" s="111">
        <f>MAX(E958,$C$701)</f>
        <v>2000</v>
      </c>
      <c r="D958" s="111" t="b">
        <f>IF(AND('AES Indiana Sep 23 Bill Calc.'!$D$17="HL3",'AES Indiana Sep 23 Bill Calc.'!$D$18="Yes 25%",'AES Indiana Sep 23 Bill Calc.'!$D$20="Yes 2022"),'AES Indiana Sep 23 Bill Calc.'!$D$22)</f>
        <v>0</v>
      </c>
      <c r="E958" s="111" t="b">
        <f>IF(AND('AES Indiana Sep 23 Bill Calc.'!$D$17="HL3",'AES Indiana Sep 23 Bill Calc.'!$D$18="Yes 25%",'AES Indiana Sep 23 Bill Calc.'!$D$20="Yes 2022"),'AES Indiana Sep 23 Bill Calc.'!$D$21)</f>
        <v>0</v>
      </c>
      <c r="F958" s="37" t="s">
        <v>194</v>
      </c>
      <c r="G958" s="113" t="e">
        <f>SUM(J958:M958,R958:AA958)</f>
        <v>#N/A</v>
      </c>
      <c r="H958" s="19" t="e">
        <f>IF(ISBLANK(B958),0,+#REF!/B958)</f>
        <v>#REF!</v>
      </c>
      <c r="J958" s="53">
        <f>IF(ISBLANK(B958),0,+J$889)</f>
        <v>492.51</v>
      </c>
      <c r="K958" s="17">
        <f>ROUND($B958*K$889,2)</f>
        <v>-0.03</v>
      </c>
      <c r="L958" s="17">
        <f>IF(ISBLANK($C958),0,IF($C958&lt;$C$890,ROUND($C$890*$L$889,2),IF($C958&gt;L$890,ROUND(L$890*L$889,2),ROUND($C958*L$889,2))))</f>
        <v>42600</v>
      </c>
      <c r="M958" s="17">
        <f>IF($C958&gt;L$890,ROUND(($C958-L$890)*M$889,2),0)</f>
        <v>0</v>
      </c>
      <c r="N958" s="17">
        <f>K958</f>
        <v>-0.03</v>
      </c>
      <c r="O958" s="17"/>
      <c r="P958" s="17"/>
      <c r="Q958" s="17">
        <f>SUM(L958:M958)</f>
        <v>42600</v>
      </c>
      <c r="R958" s="16" t="e">
        <f>ROUND(SUM(K958:M958)*(R957-1),2)</f>
        <v>#N/A</v>
      </c>
      <c r="S958" s="17">
        <f>ROUND($B958*S$889*S957,2)</f>
        <v>0</v>
      </c>
      <c r="T958" s="17">
        <f>ROUND($B958*T$889,2)</f>
        <v>0</v>
      </c>
      <c r="U958" s="17">
        <f>ROUND($B958*U$889,2)</f>
        <v>0</v>
      </c>
      <c r="V958" s="8">
        <f>ROUND($B958*V$887,2)</f>
        <v>0</v>
      </c>
      <c r="W958" s="17">
        <f>ROUND($B958*W$889,2)</f>
        <v>0</v>
      </c>
      <c r="X958" s="17">
        <f>ROUND($B958*X$889,2)</f>
        <v>0</v>
      </c>
      <c r="Y958" s="17">
        <f>ROUND($B958*Y$889,2)</f>
        <v>0</v>
      </c>
      <c r="Z958" s="17">
        <f>ROUND($B958*Z$889,2)</f>
        <v>0</v>
      </c>
      <c r="AA958" s="17">
        <f>ROUND($B958*AA$889,2)</f>
        <v>0</v>
      </c>
      <c r="AB958" s="19">
        <f>SUM(U$889:AA$889)+(-V$889+V942)</f>
        <v>2.3760000000000005E-3</v>
      </c>
      <c r="AC958" s="78" t="str">
        <f>+F958</f>
        <v>HL31</v>
      </c>
    </row>
    <row r="959" spans="1:29" ht="13" x14ac:dyDescent="0.3">
      <c r="A959" s="9"/>
      <c r="B959" s="111">
        <v>-1</v>
      </c>
      <c r="D959" s="8"/>
      <c r="E959" s="9"/>
      <c r="F959" s="37"/>
      <c r="G959" s="12"/>
      <c r="H959" s="12"/>
      <c r="J959" s="12"/>
      <c r="K959" s="12"/>
      <c r="L959" s="12"/>
      <c r="M959" s="12"/>
      <c r="N959" s="12"/>
      <c r="O959" s="12"/>
      <c r="P959" s="12"/>
      <c r="Q959" s="12"/>
      <c r="R959" s="39" t="e">
        <f>VLOOKUP((D960),'Pwr Factor'!$A$1:$B$52,2)</f>
        <v>#N/A</v>
      </c>
      <c r="S959" s="51">
        <v>0.1</v>
      </c>
      <c r="T959" s="12"/>
      <c r="U959" s="12"/>
      <c r="V959" s="12"/>
      <c r="W959" s="12"/>
      <c r="X959" s="12"/>
      <c r="Y959" s="12"/>
      <c r="Z959" s="12"/>
      <c r="AA959" s="12"/>
    </row>
    <row r="960" spans="1:29" ht="13" x14ac:dyDescent="0.3">
      <c r="A960" s="57" t="s">
        <v>173</v>
      </c>
      <c r="B960" s="111">
        <f>IF(AND('AES Indiana Sep 23 Bill Calc.'!$D$17="HL3",'AES Indiana Sep 23 Bill Calc.'!$D$18="Yes 10%",'AES Indiana Sep 23 Bill Calc.'!$D$20="Yes 2022"),'AES Indiana Sep 23 Bill Calc.'!$D$19,-1)</f>
        <v>-1</v>
      </c>
      <c r="C960" s="111">
        <f>MAX(E960,$C$701)</f>
        <v>2000</v>
      </c>
      <c r="D960" s="111" t="b">
        <f>IF(AND('AES Indiana Sep 23 Bill Calc.'!$D$17="HL3",'AES Indiana Sep 23 Bill Calc.'!$D$18="Yes 10%",'AES Indiana Sep 23 Bill Calc.'!$D$20="Yes 2022"),'AES Indiana Sep 23 Bill Calc.'!$D$22)</f>
        <v>0</v>
      </c>
      <c r="E960" s="111" t="b">
        <f>IF(AND('AES Indiana Sep 23 Bill Calc.'!$D$17="HL3",'AES Indiana Sep 23 Bill Calc.'!$D$18="Yes 10%",'AES Indiana Sep 23 Bill Calc.'!$D$20="Yes 2022"),'AES Indiana Sep 23 Bill Calc.'!$D$21)</f>
        <v>0</v>
      </c>
      <c r="F960" s="37" t="s">
        <v>194</v>
      </c>
      <c r="G960" s="113" t="e">
        <f>SUM(J960:M960,R960:AA960)</f>
        <v>#N/A</v>
      </c>
      <c r="H960" s="19" t="e">
        <f>IF(ISBLANK(B960),0,+#REF!/B960)</f>
        <v>#REF!</v>
      </c>
      <c r="J960" s="53">
        <f>IF(ISBLANK(B960),0,+J$889)</f>
        <v>492.51</v>
      </c>
      <c r="K960" s="17">
        <f>ROUND($B960*K$889,2)</f>
        <v>-0.03</v>
      </c>
      <c r="L960" s="17">
        <f>IF(ISBLANK($C960),0,IF($C960&lt;$C$890,ROUND($C$890*$L$889,2),IF($C960&gt;L$890,ROUND(L$890*L$889,2),ROUND($C960*L$889,2))))</f>
        <v>42600</v>
      </c>
      <c r="M960" s="17">
        <f>IF($C960&gt;L$890,ROUND(($C960-L$890)*M$889,2),0)</f>
        <v>0</v>
      </c>
      <c r="N960" s="17">
        <f>K960</f>
        <v>-0.03</v>
      </c>
      <c r="O960" s="17"/>
      <c r="P960" s="17"/>
      <c r="Q960" s="17">
        <f>SUM(L960:M960)</f>
        <v>42600</v>
      </c>
      <c r="R960" s="16" t="e">
        <f>ROUND(SUM(K960:M960)*(R959-1),2)</f>
        <v>#N/A</v>
      </c>
      <c r="S960" s="17">
        <f>ROUND($B960*S$889*S959,2)</f>
        <v>0</v>
      </c>
      <c r="T960" s="17">
        <f>ROUND($B960*T$889,2)</f>
        <v>0</v>
      </c>
      <c r="U960" s="17">
        <f>ROUND($B960*U$889,2)</f>
        <v>0</v>
      </c>
      <c r="V960" s="8">
        <f>ROUND($B960*V$887,2)</f>
        <v>0</v>
      </c>
      <c r="W960" s="17">
        <f>ROUND($B960*W$889,2)</f>
        <v>0</v>
      </c>
      <c r="X960" s="17">
        <f>ROUND($B960*X$889,2)</f>
        <v>0</v>
      </c>
      <c r="Y960" s="17">
        <f>ROUND($B960*Y$889,2)</f>
        <v>0</v>
      </c>
      <c r="Z960" s="17">
        <f>ROUND($B960*Z$889,2)</f>
        <v>0</v>
      </c>
      <c r="AA960" s="17">
        <f>ROUND($B960*AA$889,2)</f>
        <v>0</v>
      </c>
      <c r="AB960" s="19">
        <f>SUM(U$889:AA$889)+(-V$889+V944)</f>
        <v>2.3760000000000005E-3</v>
      </c>
      <c r="AC960" s="78" t="str">
        <f>+F960</f>
        <v>HL31</v>
      </c>
    </row>
    <row r="961" spans="1:29" ht="13" x14ac:dyDescent="0.3">
      <c r="A961" s="9"/>
      <c r="B961" s="111">
        <v>-1</v>
      </c>
      <c r="D961" s="8"/>
      <c r="E961" s="9"/>
      <c r="F961" s="37"/>
      <c r="G961" s="12"/>
      <c r="H961" s="12"/>
      <c r="J961" s="12"/>
      <c r="K961" s="12"/>
      <c r="L961" s="12"/>
      <c r="M961" s="12"/>
      <c r="N961" s="12"/>
      <c r="O961" s="12"/>
      <c r="P961" s="12"/>
      <c r="Q961" s="12"/>
      <c r="R961" s="39" t="e">
        <f>VLOOKUP((D962),'Pwr Factor'!$A$1:$B$52,2)</f>
        <v>#N/A</v>
      </c>
      <c r="S961" s="51">
        <v>0</v>
      </c>
      <c r="T961" s="12"/>
      <c r="U961" s="12"/>
      <c r="V961" s="12"/>
      <c r="W961" s="12"/>
      <c r="X961" s="12"/>
      <c r="Y961" s="12"/>
      <c r="Z961" s="12"/>
      <c r="AA961" s="12"/>
    </row>
    <row r="962" spans="1:29" ht="13" x14ac:dyDescent="0.3">
      <c r="A962" s="57" t="s">
        <v>172</v>
      </c>
      <c r="B962" s="111">
        <f>IF(AND('AES Indiana Sep 23 Bill Calc.'!$D$17="HL3",'AES Indiana Sep 23 Bill Calc.'!$D$18="No",'AES Indiana Sep 23 Bill Calc.'!$D$20="Yes 2022"),'AES Indiana Sep 23 Bill Calc.'!$D$19,-1)</f>
        <v>-1</v>
      </c>
      <c r="C962" s="111">
        <f>MAX(E962,$C$701)</f>
        <v>2000</v>
      </c>
      <c r="D962" s="111" t="b">
        <f>IF(AND('AES Indiana Sep 23 Bill Calc.'!$D$17="HL3",'AES Indiana Sep 23 Bill Calc.'!$D$18="No",'AES Indiana Sep 23 Bill Calc.'!$D$20="Yes 2022"),'AES Indiana Sep 23 Bill Calc.'!$D$22)</f>
        <v>0</v>
      </c>
      <c r="E962" s="111" t="b">
        <f>IF(AND('AES Indiana Sep 23 Bill Calc.'!$D$17="HL3",'AES Indiana Sep 23 Bill Calc.'!$D$18="No",'AES Indiana Sep 23 Bill Calc.'!$D$20="Yes 2022"),'AES Indiana Sep 23 Bill Calc.'!$D$21)</f>
        <v>0</v>
      </c>
      <c r="F962" s="37" t="s">
        <v>194</v>
      </c>
      <c r="G962" s="113" t="e">
        <f>SUM(J962:M962,R962:AA962)</f>
        <v>#N/A</v>
      </c>
      <c r="H962" s="19" t="e">
        <f>IF(ISBLANK(B962),0,+#REF!/B962)</f>
        <v>#REF!</v>
      </c>
      <c r="J962" s="53">
        <f>IF(ISBLANK(B962),0,+J$889)</f>
        <v>492.51</v>
      </c>
      <c r="K962" s="17">
        <f>ROUND($B962*K$889,2)</f>
        <v>-0.03</v>
      </c>
      <c r="L962" s="17">
        <f>IF(ISBLANK($C962),0,IF($C962&lt;$C$890,ROUND($C$890*$L$889,2),IF($C962&gt;L$890,ROUND(L$890*L$889,2),ROUND($C962*L$889,2))))</f>
        <v>42600</v>
      </c>
      <c r="M962" s="17">
        <f>IF($C962&gt;L$890,ROUND(($C962-L$890)*M$889,2),0)</f>
        <v>0</v>
      </c>
      <c r="N962" s="17">
        <f>K962</f>
        <v>-0.03</v>
      </c>
      <c r="O962" s="17"/>
      <c r="P962" s="17"/>
      <c r="Q962" s="17">
        <f>SUM(L962:M962)</f>
        <v>42600</v>
      </c>
      <c r="R962" s="16" t="e">
        <f>ROUND(SUM(K962:M962)*(R961-1),2)</f>
        <v>#N/A</v>
      </c>
      <c r="S962" s="17">
        <f>ROUND($B962*S$889*S961,2)</f>
        <v>0</v>
      </c>
      <c r="T962" s="17">
        <f>ROUND($B962*T$889,2)</f>
        <v>0</v>
      </c>
      <c r="U962" s="17">
        <f>ROUND($B962*U$889,2)</f>
        <v>0</v>
      </c>
      <c r="V962" s="8">
        <f>ROUND($B962*V$887,2)</f>
        <v>0</v>
      </c>
      <c r="W962" s="17">
        <f>ROUND($B962*W$889,2)</f>
        <v>0</v>
      </c>
      <c r="X962" s="17">
        <f>ROUND($B962*X$889,2)</f>
        <v>0</v>
      </c>
      <c r="Y962" s="17">
        <f>ROUND($B962*Y$889,2)</f>
        <v>0</v>
      </c>
      <c r="Z962" s="17">
        <f>ROUND($B962*Z$889,2)</f>
        <v>0</v>
      </c>
      <c r="AA962" s="17">
        <f>ROUND($B962*AA$889,2)</f>
        <v>0</v>
      </c>
      <c r="AB962" s="19">
        <f>SUM(U$889:AA$889)+(-V$889+V946)</f>
        <v>2.3760000000000005E-3</v>
      </c>
      <c r="AC962" s="78" t="str">
        <f>+F962</f>
        <v>HL31</v>
      </c>
    </row>
    <row r="963" spans="1:29" ht="13" x14ac:dyDescent="0.3">
      <c r="A963" s="49"/>
      <c r="B963" s="111">
        <v>-1</v>
      </c>
      <c r="D963" s="8"/>
      <c r="E963" s="9"/>
      <c r="F963" s="37"/>
      <c r="G963" s="12"/>
      <c r="H963" s="12"/>
      <c r="J963" s="12"/>
      <c r="K963" s="12"/>
      <c r="L963" s="12"/>
      <c r="M963" s="12"/>
      <c r="N963" s="12"/>
      <c r="O963" s="12"/>
      <c r="P963" s="12"/>
      <c r="Q963" s="12"/>
      <c r="R963" s="39" t="e">
        <f>VLOOKUP((D964),'Pwr Factor'!$A$1:$B$52,2)</f>
        <v>#N/A</v>
      </c>
      <c r="S963" s="51">
        <v>1</v>
      </c>
      <c r="T963" s="12"/>
      <c r="U963" s="12"/>
      <c r="V963" s="12"/>
      <c r="W963" s="12"/>
      <c r="X963" s="12"/>
      <c r="Y963" s="12"/>
      <c r="Z963" s="12"/>
      <c r="AA963" s="12"/>
    </row>
    <row r="964" spans="1:29" ht="13" x14ac:dyDescent="0.3">
      <c r="A964" s="1" t="s">
        <v>73</v>
      </c>
      <c r="B964" s="111">
        <f>IF(AND('AES Indiana Sep 23 Bill Calc.'!$D$17="HL3",'AES Indiana Sep 23 Bill Calc.'!$D$18="Yes 100%",'AES Indiana Sep 23 Bill Calc.'!$D$20="Yes 2022"),'AES Indiana Sep 23 Bill Calc.'!$D$19,-1)</f>
        <v>-1</v>
      </c>
      <c r="C964" s="111">
        <f>MAX(E964,$C$701)</f>
        <v>2000</v>
      </c>
      <c r="D964" s="111" t="b">
        <f>IF(AND('AES Indiana Sep 23 Bill Calc.'!$D$17="HL3",'AES Indiana Sep 23 Bill Calc.'!$D$18="Yes 100%",'AES Indiana Sep 23 Bill Calc.'!$D$20="Yes 2022"),'AES Indiana Sep 23 Bill Calc.'!$D$22)</f>
        <v>0</v>
      </c>
      <c r="E964" s="111" t="b">
        <f>IF(AND('AES Indiana Sep 23 Bill Calc.'!$D$17="HL3",'AES Indiana Sep 23 Bill Calc.'!$D$18="Yes 100%",'AES Indiana Sep 23 Bill Calc.'!$D$20="Yes 2022"),'AES Indiana Sep 23 Bill Calc.'!$D$21)</f>
        <v>0</v>
      </c>
      <c r="F964" s="37" t="s">
        <v>195</v>
      </c>
      <c r="G964" s="113" t="e">
        <f>SUM(J964:M964,R964:AA964)</f>
        <v>#N/A</v>
      </c>
      <c r="H964" s="19" t="e">
        <f>IF(ISBLANK(B964),0,+#REF!/B964)</f>
        <v>#REF!</v>
      </c>
      <c r="J964" s="53">
        <f>IF(ISBLANK(B964),0,+J$889)</f>
        <v>492.51</v>
      </c>
      <c r="K964" s="17">
        <f>ROUND($B964*K$889,2)</f>
        <v>-0.03</v>
      </c>
      <c r="L964" s="17">
        <f>IF(ISBLANK($C964),0,IF($C964&lt;$C$890,ROUND($C$890*$L$889,2),IF($C964&gt;L$890,ROUND(L$890*L$889,2),ROUND($C964*L$889,2))))</f>
        <v>42600</v>
      </c>
      <c r="M964" s="17">
        <f>IF($C964&gt;L$890,ROUND(($C964-L$890)*M$889,2),0)</f>
        <v>0</v>
      </c>
      <c r="N964" s="17">
        <f>K964</f>
        <v>-0.03</v>
      </c>
      <c r="O964" s="17"/>
      <c r="P964" s="17"/>
      <c r="Q964" s="17">
        <f>SUM(L964:M964)</f>
        <v>42600</v>
      </c>
      <c r="R964" s="16" t="e">
        <f>ROUND(SUM(K964:M964)*(R963-1),2)</f>
        <v>#N/A</v>
      </c>
      <c r="S964" s="17">
        <f>ROUND($B964*S$889*S963,2)</f>
        <v>0</v>
      </c>
      <c r="T964" s="17">
        <f>ROUND($B964*T$889,2)</f>
        <v>0</v>
      </c>
      <c r="U964" s="17">
        <f>ROUND($B964*U$889,2)</f>
        <v>0</v>
      </c>
      <c r="V964" s="8">
        <f>ROUND($B964*V$887,2)</f>
        <v>0</v>
      </c>
      <c r="W964" s="17">
        <f>ROUND($B964*W$889,2)</f>
        <v>0</v>
      </c>
      <c r="X964" s="17">
        <f>ROUND($B964*X$889,2)</f>
        <v>0</v>
      </c>
      <c r="Y964" s="17">
        <f>ROUND($B964*Y$889,2)</f>
        <v>0</v>
      </c>
      <c r="Z964" s="17">
        <f>ROUND($B964*Z$889,2)</f>
        <v>0</v>
      </c>
      <c r="AA964" s="17">
        <f>ROUND($B964*AA$889,2)</f>
        <v>0</v>
      </c>
      <c r="AB964" s="19">
        <f>SUM(U$889:AA$889)+(-V$889+V948)</f>
        <v>2.3760000000000005E-3</v>
      </c>
      <c r="AC964" s="78" t="str">
        <f>+F964</f>
        <v>HL32</v>
      </c>
    </row>
    <row r="965" spans="1:29" ht="13" x14ac:dyDescent="0.3">
      <c r="A965" s="49"/>
      <c r="B965" s="111">
        <v>-1</v>
      </c>
      <c r="D965" s="8"/>
      <c r="E965" s="9"/>
      <c r="F965" s="37"/>
      <c r="G965" s="12"/>
      <c r="H965" s="12"/>
      <c r="J965" s="12"/>
      <c r="K965" s="12"/>
      <c r="L965" s="12"/>
      <c r="M965" s="12"/>
      <c r="N965" s="12"/>
      <c r="O965" s="12"/>
      <c r="P965" s="12"/>
      <c r="Q965" s="12"/>
      <c r="R965" s="39" t="e">
        <f>VLOOKUP((D966),'Pwr Factor'!$A$1:$B$52,2)</f>
        <v>#N/A</v>
      </c>
      <c r="S965" s="51">
        <v>0.5</v>
      </c>
      <c r="T965" s="12"/>
      <c r="U965" s="12"/>
      <c r="V965" s="12"/>
      <c r="W965" s="12"/>
      <c r="X965" s="12"/>
      <c r="Y965" s="12"/>
      <c r="Z965" s="12"/>
      <c r="AA965" s="12"/>
    </row>
    <row r="966" spans="1:29" ht="13" x14ac:dyDescent="0.3">
      <c r="A966" s="57" t="s">
        <v>171</v>
      </c>
      <c r="B966" s="111">
        <f>IF(AND('AES Indiana Sep 23 Bill Calc.'!$D$17="HL3",'AES Indiana Sep 23 Bill Calc.'!$D$18="Yes 50%",'AES Indiana Sep 23 Bill Calc.'!$D$20="Yes 2022"),'AES Indiana Sep 23 Bill Calc.'!$D$19,-1)</f>
        <v>-1</v>
      </c>
      <c r="C966" s="111">
        <f>MAX(E966,$C$701)</f>
        <v>2000</v>
      </c>
      <c r="D966" s="111" t="b">
        <f>IF(AND('AES Indiana Sep 23 Bill Calc.'!$D$17="HL3",'AES Indiana Sep 23 Bill Calc.'!$D$18="Yes 50%",'AES Indiana Sep 23 Bill Calc.'!$D$20="Yes 2022"),'AES Indiana Sep 23 Bill Calc.'!$D$22)</f>
        <v>0</v>
      </c>
      <c r="E966" s="111" t="b">
        <f>IF(AND('AES Indiana Sep 23 Bill Calc.'!$D$17="HL3",'AES Indiana Sep 23 Bill Calc.'!$D$18="Yes 50%",'AES Indiana Sep 23 Bill Calc.'!$D$20="Yes 2022"),'AES Indiana Sep 23 Bill Calc.'!$D$21)</f>
        <v>0</v>
      </c>
      <c r="F966" s="37" t="s">
        <v>195</v>
      </c>
      <c r="G966" s="113" t="e">
        <f>SUM(J966:M966,R966:AA966)</f>
        <v>#N/A</v>
      </c>
      <c r="H966" s="19" t="e">
        <f>IF(ISBLANK(B966),0,+#REF!/B966)</f>
        <v>#REF!</v>
      </c>
      <c r="J966" s="53">
        <f>IF(ISBLANK(B966),0,+J$889)</f>
        <v>492.51</v>
      </c>
      <c r="K966" s="17">
        <f>ROUND($B966*K$889,2)</f>
        <v>-0.03</v>
      </c>
      <c r="L966" s="17">
        <f>IF(ISBLANK($C966),0,IF($C966&lt;$C$890,ROUND($C$890*$L$889,2),IF($C966&gt;L$890,ROUND(L$890*L$889,2),ROUND($C966*L$889,2))))</f>
        <v>42600</v>
      </c>
      <c r="M966" s="17">
        <f>IF($C966&gt;L$890,ROUND(($C966-L$890)*M$889,2),0)</f>
        <v>0</v>
      </c>
      <c r="N966" s="17">
        <f>K966</f>
        <v>-0.03</v>
      </c>
      <c r="O966" s="17"/>
      <c r="P966" s="17"/>
      <c r="Q966" s="17">
        <f>SUM(L966:M966)</f>
        <v>42600</v>
      </c>
      <c r="R966" s="16" t="e">
        <f>ROUND(SUM(K966:M966)*(R965-1),2)</f>
        <v>#N/A</v>
      </c>
      <c r="S966" s="17">
        <f>ROUND($B966*S$889*S965,2)</f>
        <v>0</v>
      </c>
      <c r="T966" s="17">
        <f>ROUND($B966*T$889,2)</f>
        <v>0</v>
      </c>
      <c r="U966" s="17">
        <f>ROUND($B966*U$889,2)</f>
        <v>0</v>
      </c>
      <c r="V966" s="8">
        <f>ROUND($B966*V$887,2)</f>
        <v>0</v>
      </c>
      <c r="W966" s="17">
        <f>ROUND($B966*W$889,2)</f>
        <v>0</v>
      </c>
      <c r="X966" s="17">
        <f>ROUND($B966*X$889,2)</f>
        <v>0</v>
      </c>
      <c r="Y966" s="17">
        <f>ROUND($B966*Y$889,2)</f>
        <v>0</v>
      </c>
      <c r="Z966" s="17">
        <f>ROUND($B966*Z$889,2)</f>
        <v>0</v>
      </c>
      <c r="AA966" s="17">
        <f>ROUND($B966*AA$889,2)</f>
        <v>0</v>
      </c>
      <c r="AB966" s="19">
        <f>SUM(U$889:AA$889)+(-V$889+V950)</f>
        <v>2.3760000000000005E-3</v>
      </c>
      <c r="AC966" s="78" t="str">
        <f>+F966</f>
        <v>HL32</v>
      </c>
    </row>
    <row r="967" spans="1:29" ht="13" x14ac:dyDescent="0.3">
      <c r="A967" s="9"/>
      <c r="B967" s="111">
        <v>-1</v>
      </c>
      <c r="D967" s="8"/>
      <c r="E967" s="9"/>
      <c r="F967" s="37"/>
      <c r="G967" s="12"/>
      <c r="H967" s="12"/>
      <c r="J967" s="12"/>
      <c r="K967" s="12"/>
      <c r="L967" s="12"/>
      <c r="M967" s="12"/>
      <c r="N967" s="12"/>
      <c r="O967" s="12"/>
      <c r="P967" s="12"/>
      <c r="Q967" s="12"/>
      <c r="R967" s="39" t="e">
        <f>VLOOKUP((D968),'Pwr Factor'!$A$1:$B$52,2)</f>
        <v>#N/A</v>
      </c>
      <c r="S967" s="51">
        <v>0.25</v>
      </c>
      <c r="T967" s="12"/>
      <c r="U967" s="12"/>
      <c r="V967" s="12"/>
      <c r="W967" s="12"/>
      <c r="X967" s="12"/>
      <c r="Y967" s="12"/>
      <c r="Z967" s="12"/>
      <c r="AA967" s="12"/>
    </row>
    <row r="968" spans="1:29" ht="13" x14ac:dyDescent="0.3">
      <c r="A968" s="57" t="s">
        <v>158</v>
      </c>
      <c r="B968" s="111">
        <f>IF(AND('AES Indiana Sep 23 Bill Calc.'!$D$17="HL3",'AES Indiana Sep 23 Bill Calc.'!$D$18="Yes 25%",'AES Indiana Sep 23 Bill Calc.'!$D$20="Yes 2022"),'AES Indiana Sep 23 Bill Calc.'!$D$19,-1)</f>
        <v>-1</v>
      </c>
      <c r="C968" s="111">
        <f>MAX(E968,$C$701)</f>
        <v>2000</v>
      </c>
      <c r="D968" s="111" t="b">
        <f>IF(AND('AES Indiana Sep 23 Bill Calc.'!$D$17="HL3",'AES Indiana Sep 23 Bill Calc.'!$D$18="Yes 25%",'AES Indiana Sep 23 Bill Calc.'!$D$20="Yes 2022"),'AES Indiana Sep 23 Bill Calc.'!$D$22)</f>
        <v>0</v>
      </c>
      <c r="E968" s="111" t="b">
        <f>IF(AND('AES Indiana Sep 23 Bill Calc.'!$D$17="HL3",'AES Indiana Sep 23 Bill Calc.'!$D$18="Yes 25%",'AES Indiana Sep 23 Bill Calc.'!$D$20="Yes 2022"),'AES Indiana Sep 23 Bill Calc.'!$D$21)</f>
        <v>0</v>
      </c>
      <c r="F968" s="37" t="s">
        <v>195</v>
      </c>
      <c r="G968" s="113" t="e">
        <f>SUM(J968:M968,R968:AA968)</f>
        <v>#N/A</v>
      </c>
      <c r="H968" s="19" t="e">
        <f>IF(ISBLANK(B968),0,+#REF!/B968)</f>
        <v>#REF!</v>
      </c>
      <c r="J968" s="53">
        <f>IF(ISBLANK(B968),0,+J$889)</f>
        <v>492.51</v>
      </c>
      <c r="K968" s="17">
        <f>ROUND($B968*K$889,2)</f>
        <v>-0.03</v>
      </c>
      <c r="L968" s="17">
        <f>IF(ISBLANK($C968),0,IF($C968&lt;$C$890,ROUND($C$890*$L$889,2),IF($C968&gt;L$890,ROUND(L$890*L$889,2),ROUND($C968*L$889,2))))</f>
        <v>42600</v>
      </c>
      <c r="M968" s="17">
        <f>IF($C968&gt;L$890,ROUND(($C968-L$890)*M$889,2),0)</f>
        <v>0</v>
      </c>
      <c r="N968" s="17">
        <f>K968</f>
        <v>-0.03</v>
      </c>
      <c r="O968" s="17"/>
      <c r="P968" s="17"/>
      <c r="Q968" s="17">
        <f>SUM(L968:M968)</f>
        <v>42600</v>
      </c>
      <c r="R968" s="16" t="e">
        <f>ROUND(SUM(K968:M968)*(R967-1),2)</f>
        <v>#N/A</v>
      </c>
      <c r="S968" s="17">
        <f>ROUND($B968*S$889*S967,2)</f>
        <v>0</v>
      </c>
      <c r="T968" s="17">
        <f>ROUND($B968*T$889,2)</f>
        <v>0</v>
      </c>
      <c r="U968" s="17">
        <f>ROUND($B968*U$889,2)</f>
        <v>0</v>
      </c>
      <c r="V968" s="8">
        <f>ROUND($B968*V$887,2)</f>
        <v>0</v>
      </c>
      <c r="W968" s="17">
        <f>ROUND($B968*W$889,2)</f>
        <v>0</v>
      </c>
      <c r="X968" s="17">
        <f>ROUND($B968*X$889,2)</f>
        <v>0</v>
      </c>
      <c r="Y968" s="17">
        <f>ROUND($B968*Y$889,2)</f>
        <v>0</v>
      </c>
      <c r="Z968" s="17">
        <f>ROUND($B968*Z$889,2)</f>
        <v>0</v>
      </c>
      <c r="AA968" s="17">
        <f>ROUND($B968*AA$889,2)</f>
        <v>0</v>
      </c>
      <c r="AB968" s="19">
        <f>SUM(U$889:AA$889)+(-V$889+V952)</f>
        <v>2.3760000000000005E-3</v>
      </c>
      <c r="AC968" s="78" t="str">
        <f>+F968</f>
        <v>HL32</v>
      </c>
    </row>
    <row r="969" spans="1:29" ht="13" x14ac:dyDescent="0.3">
      <c r="A969" s="9"/>
      <c r="B969" s="111">
        <v>-1</v>
      </c>
      <c r="D969" s="8"/>
      <c r="E969" s="9"/>
      <c r="F969" s="37"/>
      <c r="G969" s="12"/>
      <c r="H969" s="12"/>
      <c r="J969" s="12"/>
      <c r="K969" s="12"/>
      <c r="L969" s="12"/>
      <c r="M969" s="12"/>
      <c r="N969" s="12"/>
      <c r="O969" s="12"/>
      <c r="P969" s="12"/>
      <c r="Q969" s="12"/>
      <c r="R969" s="39" t="e">
        <f>VLOOKUP((D970),'Pwr Factor'!$A$1:$B$52,2)</f>
        <v>#N/A</v>
      </c>
      <c r="S969" s="51">
        <v>0.1</v>
      </c>
      <c r="T969" s="12"/>
      <c r="U969" s="12"/>
      <c r="V969" s="12"/>
      <c r="W969" s="12"/>
      <c r="X969" s="12"/>
      <c r="Y969" s="12"/>
      <c r="Z969" s="12"/>
      <c r="AA969" s="12"/>
    </row>
    <row r="970" spans="1:29" ht="13" x14ac:dyDescent="0.3">
      <c r="A970" s="57" t="s">
        <v>173</v>
      </c>
      <c r="B970" s="111">
        <f>IF(AND('AES Indiana Sep 23 Bill Calc.'!$D$17="HL3",'AES Indiana Sep 23 Bill Calc.'!$D$18="Yes 10%",'AES Indiana Sep 23 Bill Calc.'!$D$20="Yes 2022"),'AES Indiana Sep 23 Bill Calc.'!$D$19,-1)</f>
        <v>-1</v>
      </c>
      <c r="C970" s="111">
        <f>MAX(E970,$C$701)</f>
        <v>2000</v>
      </c>
      <c r="D970" s="111" t="b">
        <f>IF(AND('AES Indiana Sep 23 Bill Calc.'!$D$17="HL3",'AES Indiana Sep 23 Bill Calc.'!$D$18="Yes 10%",'AES Indiana Sep 23 Bill Calc.'!$D$20="Yes 2022"),'AES Indiana Sep 23 Bill Calc.'!$D$22)</f>
        <v>0</v>
      </c>
      <c r="E970" s="111" t="b">
        <f>IF(AND('AES Indiana Sep 23 Bill Calc.'!$D$17="HL3",'AES Indiana Sep 23 Bill Calc.'!$D$18="Yes 10%",'AES Indiana Sep 23 Bill Calc.'!$D$20="Yes 2022"),'AES Indiana Sep 23 Bill Calc.'!$D$21)</f>
        <v>0</v>
      </c>
      <c r="F970" s="37" t="s">
        <v>195</v>
      </c>
      <c r="G970" s="113" t="e">
        <f>SUM(J970:M970,R970:AA970)</f>
        <v>#N/A</v>
      </c>
      <c r="H970" s="19" t="e">
        <f>IF(ISBLANK(B970),0,+#REF!/B970)</f>
        <v>#REF!</v>
      </c>
      <c r="J970" s="53">
        <f>IF(ISBLANK(B970),0,+J$889)</f>
        <v>492.51</v>
      </c>
      <c r="K970" s="17">
        <f>ROUND($B970*K$889,2)</f>
        <v>-0.03</v>
      </c>
      <c r="L970" s="17">
        <f>IF(ISBLANK($C970),0,IF($C970&lt;$C$890,ROUND($C$890*$L$889,2),IF($C970&gt;L$890,ROUND(L$890*L$889,2),ROUND($C970*L$889,2))))</f>
        <v>42600</v>
      </c>
      <c r="M970" s="17">
        <f>IF($C970&gt;L$890,ROUND(($C970-L$890)*M$889,2),0)</f>
        <v>0</v>
      </c>
      <c r="N970" s="17">
        <f>K970</f>
        <v>-0.03</v>
      </c>
      <c r="O970" s="17"/>
      <c r="P970" s="17"/>
      <c r="Q970" s="17">
        <f>SUM(L970:M970)</f>
        <v>42600</v>
      </c>
      <c r="R970" s="16" t="e">
        <f>ROUND(SUM(K970:M970)*(R969-1),2)</f>
        <v>#N/A</v>
      </c>
      <c r="S970" s="17">
        <f>ROUND($B970*S$889*S969,2)</f>
        <v>0</v>
      </c>
      <c r="T970" s="17">
        <f>ROUND($B970*T$889,2)</f>
        <v>0</v>
      </c>
      <c r="U970" s="17">
        <f>ROUND($B970*U$889,2)</f>
        <v>0</v>
      </c>
      <c r="V970" s="8">
        <f>ROUND($B970*V$887,2)</f>
        <v>0</v>
      </c>
      <c r="W970" s="17">
        <f>ROUND($B970*W$889,2)</f>
        <v>0</v>
      </c>
      <c r="X970" s="17">
        <f>ROUND($B970*X$889,2)</f>
        <v>0</v>
      </c>
      <c r="Y970" s="17">
        <f>ROUND($B970*Y$889,2)</f>
        <v>0</v>
      </c>
      <c r="Z970" s="17">
        <f>ROUND($B970*Z$889,2)</f>
        <v>0</v>
      </c>
      <c r="AA970" s="17">
        <f>ROUND($B970*AA$889,2)</f>
        <v>0</v>
      </c>
      <c r="AB970" s="19">
        <f>SUM(U$889:AA$889)+(-V$889+V954)</f>
        <v>2.3760000000000005E-3</v>
      </c>
      <c r="AC970" s="78" t="str">
        <f>+F970</f>
        <v>HL32</v>
      </c>
    </row>
    <row r="971" spans="1:29" ht="13" x14ac:dyDescent="0.3">
      <c r="A971" s="9"/>
      <c r="B971" s="111">
        <v>-1</v>
      </c>
      <c r="D971" s="8"/>
      <c r="E971" s="9"/>
      <c r="F971" s="37"/>
      <c r="G971" s="12"/>
      <c r="H971" s="12"/>
      <c r="J971" s="12"/>
      <c r="K971" s="12"/>
      <c r="L971" s="12"/>
      <c r="M971" s="12"/>
      <c r="N971" s="12"/>
      <c r="O971" s="12"/>
      <c r="P971" s="12"/>
      <c r="Q971" s="12"/>
      <c r="R971" s="39" t="e">
        <f>VLOOKUP((D972),'Pwr Factor'!$A$1:$B$52,2)</f>
        <v>#N/A</v>
      </c>
      <c r="S971" s="51">
        <v>0</v>
      </c>
      <c r="T971" s="12"/>
      <c r="U971" s="12"/>
      <c r="V971" s="12"/>
      <c r="W971" s="12"/>
      <c r="X971" s="12"/>
      <c r="Y971" s="12"/>
      <c r="Z971" s="12"/>
      <c r="AA971" s="12"/>
    </row>
    <row r="972" spans="1:29" ht="13" x14ac:dyDescent="0.3">
      <c r="A972" s="57" t="s">
        <v>172</v>
      </c>
      <c r="B972" s="111">
        <f>IF(AND('AES Indiana Sep 23 Bill Calc.'!$D$17="HL3",'AES Indiana Sep 23 Bill Calc.'!$D$18="No",'AES Indiana Sep 23 Bill Calc.'!$D$20="Yes 2022"),'AES Indiana Sep 23 Bill Calc.'!$D$19,-1)</f>
        <v>-1</v>
      </c>
      <c r="C972" s="111">
        <f>MAX(E972,$C$701)</f>
        <v>2000</v>
      </c>
      <c r="D972" s="111" t="b">
        <f>IF(AND('AES Indiana Sep 23 Bill Calc.'!$D$17="HL3",'AES Indiana Sep 23 Bill Calc.'!$D$18="No",'AES Indiana Sep 23 Bill Calc.'!$D$20="Yes 2022"),'AES Indiana Sep 23 Bill Calc.'!$D$22)</f>
        <v>0</v>
      </c>
      <c r="E972" s="111" t="b">
        <f>IF(AND('AES Indiana Sep 23 Bill Calc.'!$D$17="HL3",'AES Indiana Sep 23 Bill Calc.'!$D$18="No",'AES Indiana Sep 23 Bill Calc.'!$D$20="Yes 2022"),'AES Indiana Sep 23 Bill Calc.'!$D$21)</f>
        <v>0</v>
      </c>
      <c r="F972" s="37" t="s">
        <v>195</v>
      </c>
      <c r="G972" s="113" t="e">
        <f>SUM(J972:M972,R972:AA972)</f>
        <v>#N/A</v>
      </c>
      <c r="H972" s="19" t="e">
        <f>IF(ISBLANK(B972),0,+#REF!/B972)</f>
        <v>#REF!</v>
      </c>
      <c r="J972" s="53">
        <f>IF(ISBLANK(B972),0,+J$889)</f>
        <v>492.51</v>
      </c>
      <c r="K972" s="17">
        <f>ROUND($B972*K$889,2)</f>
        <v>-0.03</v>
      </c>
      <c r="L972" s="17">
        <f>IF(ISBLANK($C972),0,IF($C972&lt;$C$890,ROUND($C$890*$L$889,2),IF($C972&gt;L$890,ROUND(L$890*L$889,2),ROUND($C972*L$889,2))))</f>
        <v>42600</v>
      </c>
      <c r="M972" s="17">
        <f>IF($C972&gt;L$890,ROUND(($C972-L$890)*M$889,2),0)</f>
        <v>0</v>
      </c>
      <c r="N972" s="17">
        <f>K972</f>
        <v>-0.03</v>
      </c>
      <c r="O972" s="17"/>
      <c r="P972" s="17"/>
      <c r="Q972" s="17">
        <f>SUM(L972:M972)</f>
        <v>42600</v>
      </c>
      <c r="R972" s="16" t="e">
        <f>ROUND(SUM(K972:M972)*(R971-1),2)</f>
        <v>#N/A</v>
      </c>
      <c r="S972" s="17">
        <f>ROUND($B972*S$889*S971,2)</f>
        <v>0</v>
      </c>
      <c r="T972" s="17">
        <f>ROUND($B972*T$889,2)</f>
        <v>0</v>
      </c>
      <c r="U972" s="17">
        <f>ROUND($B972*U$889,2)</f>
        <v>0</v>
      </c>
      <c r="V972" s="8">
        <f>ROUND($B972*V$887,2)</f>
        <v>0</v>
      </c>
      <c r="W972" s="17">
        <f>ROUND($B972*W$889,2)</f>
        <v>0</v>
      </c>
      <c r="X972" s="17">
        <f>ROUND($B972*X$889,2)</f>
        <v>0</v>
      </c>
      <c r="Y972" s="17">
        <f>ROUND($B972*Y$889,2)</f>
        <v>0</v>
      </c>
      <c r="Z972" s="17">
        <f>ROUND($B972*Z$889,2)</f>
        <v>0</v>
      </c>
      <c r="AA972" s="17">
        <f>ROUND($B972*AA$889,2)</f>
        <v>0</v>
      </c>
      <c r="AB972" s="19">
        <f>SUM(U$889:AA$889)+(-V$889+V956)</f>
        <v>2.3760000000000005E-3</v>
      </c>
      <c r="AC972" s="78" t="str">
        <f>+F972</f>
        <v>HL32</v>
      </c>
    </row>
    <row r="973" spans="1:29" ht="13" x14ac:dyDescent="0.3">
      <c r="A973" s="49"/>
      <c r="B973" s="111">
        <v>-1</v>
      </c>
      <c r="D973" s="8"/>
      <c r="E973" s="9"/>
      <c r="F973" s="37"/>
      <c r="G973" s="12"/>
      <c r="H973" s="12"/>
      <c r="J973" s="12"/>
      <c r="K973" s="12"/>
      <c r="L973" s="12"/>
      <c r="M973" s="12"/>
      <c r="N973" s="12"/>
      <c r="O973" s="12"/>
      <c r="P973" s="12"/>
      <c r="Q973" s="12"/>
      <c r="R973" s="39" t="e">
        <f>VLOOKUP((D974),'Pwr Factor'!$A$1:$B$52,2)</f>
        <v>#N/A</v>
      </c>
      <c r="S973" s="51">
        <v>1</v>
      </c>
      <c r="T973" s="12"/>
      <c r="U973" s="12"/>
      <c r="V973" s="12"/>
      <c r="W973" s="12"/>
      <c r="X973" s="12"/>
      <c r="Y973" s="12"/>
      <c r="Z973" s="12"/>
      <c r="AA973" s="12"/>
    </row>
    <row r="974" spans="1:29" ht="13" x14ac:dyDescent="0.3">
      <c r="A974" s="1" t="s">
        <v>73</v>
      </c>
      <c r="B974" s="111">
        <f>IF(AND('AES Indiana Sep 23 Bill Calc.'!$D$17="HL3",'AES Indiana Sep 23 Bill Calc.'!$D$18="Yes 100%",'AES Indiana Sep 23 Bill Calc.'!$D$20="Yes 2023"),'AES Indiana Sep 23 Bill Calc.'!$D$19,-1)</f>
        <v>-1</v>
      </c>
      <c r="C974" s="111">
        <f>MAX(E974,$C$701)</f>
        <v>2000</v>
      </c>
      <c r="D974" s="111" t="b">
        <f>IF(AND('AES Indiana Sep 23 Bill Calc.'!$D$17="HL3",'AES Indiana Sep 23 Bill Calc.'!$D$18="Yes 100%",'AES Indiana Sep 23 Bill Calc.'!$D$20="Yes 2022"),'AES Indiana Sep 23 Bill Calc.'!$D$22)</f>
        <v>0</v>
      </c>
      <c r="E974" s="111" t="b">
        <f>IF(AND('AES Indiana Sep 23 Bill Calc.'!$D$17="HL3",'AES Indiana Sep 23 Bill Calc.'!$D$18="Yes 100%",'AES Indiana Sep 23 Bill Calc.'!$D$20="Yes 2022"),'AES Indiana Sep 23 Bill Calc.'!$D$21)</f>
        <v>0</v>
      </c>
      <c r="F974" s="37" t="s">
        <v>301</v>
      </c>
      <c r="G974" s="113" t="e">
        <f>SUM(J974:M974,R974:AA974)</f>
        <v>#N/A</v>
      </c>
      <c r="H974" s="19" t="e">
        <f>IF(ISBLANK(B974),0,+#REF!/B974)</f>
        <v>#REF!</v>
      </c>
      <c r="J974" s="53">
        <f>IF(ISBLANK(B974),0,+J$889)</f>
        <v>492.51</v>
      </c>
      <c r="K974" s="17">
        <f>ROUND($B974*K$889,2)</f>
        <v>-0.03</v>
      </c>
      <c r="L974" s="17">
        <f>IF(ISBLANK($C974),0,IF($C974&lt;$C$890,ROUND($C$890*$L$889,2),IF($C974&gt;L$890,ROUND(L$890*L$889,2),ROUND($C974*L$889,2))))</f>
        <v>42600</v>
      </c>
      <c r="M974" s="17">
        <f>IF($C974&gt;L$890,ROUND(($C974-L$890)*M$889,2),0)</f>
        <v>0</v>
      </c>
      <c r="N974" s="17">
        <f>K974</f>
        <v>-0.03</v>
      </c>
      <c r="O974" s="17"/>
      <c r="P974" s="17"/>
      <c r="Q974" s="17">
        <f>SUM(L974:M974)</f>
        <v>42600</v>
      </c>
      <c r="R974" s="16" t="e">
        <f>ROUND(SUM(K974:M974)*(R973-1),2)</f>
        <v>#N/A</v>
      </c>
      <c r="S974" s="17">
        <f>ROUND($B974*S$889*S973,2)</f>
        <v>0</v>
      </c>
      <c r="T974" s="17">
        <f>ROUND($B974*T$889,2)</f>
        <v>0</v>
      </c>
      <c r="U974" s="17">
        <f>ROUND($B974*U$889,2)</f>
        <v>0</v>
      </c>
      <c r="V974" s="8">
        <f>ROUND($B974*V$888,2)</f>
        <v>0</v>
      </c>
      <c r="W974" s="17">
        <f>ROUND($B974*W$889,2)</f>
        <v>0</v>
      </c>
      <c r="X974" s="17">
        <f>ROUND($B974*X$889,2)</f>
        <v>0</v>
      </c>
      <c r="Y974" s="17">
        <f>ROUND($B974*Y$889,2)</f>
        <v>0</v>
      </c>
      <c r="Z974" s="17">
        <f>ROUND($B974*Z$889,2)</f>
        <v>0</v>
      </c>
      <c r="AA974" s="17">
        <f>ROUND($B974*AA$889,2)</f>
        <v>0</v>
      </c>
      <c r="AB974" s="19">
        <f>SUM(U$889:AA$889)+(-V$889+V958)</f>
        <v>2.3760000000000005E-3</v>
      </c>
      <c r="AC974" s="78" t="str">
        <f>+F974</f>
        <v>HL33</v>
      </c>
    </row>
    <row r="975" spans="1:29" ht="13" x14ac:dyDescent="0.3">
      <c r="A975" s="49"/>
      <c r="B975" s="111">
        <v>-1</v>
      </c>
      <c r="D975" s="8"/>
      <c r="E975" s="9"/>
      <c r="F975" s="37"/>
      <c r="G975" s="12"/>
      <c r="H975" s="12"/>
      <c r="J975" s="12"/>
      <c r="K975" s="12"/>
      <c r="L975" s="12"/>
      <c r="M975" s="12"/>
      <c r="N975" s="12"/>
      <c r="O975" s="12"/>
      <c r="P975" s="12"/>
      <c r="Q975" s="12"/>
      <c r="R975" s="39" t="e">
        <f>VLOOKUP((D976),'Pwr Factor'!$A$1:$B$52,2)</f>
        <v>#N/A</v>
      </c>
      <c r="S975" s="51">
        <v>0.5</v>
      </c>
      <c r="T975" s="12"/>
      <c r="U975" s="12"/>
      <c r="V975" s="12"/>
      <c r="W975" s="12"/>
      <c r="X975" s="12"/>
      <c r="Y975" s="12"/>
      <c r="Z975" s="12"/>
      <c r="AA975" s="12"/>
    </row>
    <row r="976" spans="1:29" ht="13" x14ac:dyDescent="0.3">
      <c r="A976" s="57" t="s">
        <v>171</v>
      </c>
      <c r="B976" s="111">
        <f>IF(AND('AES Indiana Sep 23 Bill Calc.'!$D$17="HL3",'AES Indiana Sep 23 Bill Calc.'!$D$18="Yes 50%",'AES Indiana Sep 23 Bill Calc.'!$D$20="Yes 2023"),'AES Indiana Sep 23 Bill Calc.'!$D$19,-1)</f>
        <v>-1</v>
      </c>
      <c r="C976" s="111">
        <f>MAX(E976,$C$701)</f>
        <v>2000</v>
      </c>
      <c r="D976" s="111" t="b">
        <f>IF(AND('AES Indiana Sep 23 Bill Calc.'!$D$17="HL3",'AES Indiana Sep 23 Bill Calc.'!$D$18="Yes 50%",'AES Indiana Sep 23 Bill Calc.'!$D$20="Yes 2022"),'AES Indiana Sep 23 Bill Calc.'!$D$22)</f>
        <v>0</v>
      </c>
      <c r="E976" s="111" t="b">
        <f>IF(AND('AES Indiana Sep 23 Bill Calc.'!$D$17="HL3",'AES Indiana Sep 23 Bill Calc.'!$D$18="Yes 50%",'AES Indiana Sep 23 Bill Calc.'!$D$20="Yes 2022"),'AES Indiana Sep 23 Bill Calc.'!$D$21)</f>
        <v>0</v>
      </c>
      <c r="F976" s="37" t="s">
        <v>301</v>
      </c>
      <c r="G976" s="113" t="e">
        <f>SUM(J976:M976,R976:AA976)</f>
        <v>#N/A</v>
      </c>
      <c r="H976" s="19" t="e">
        <f>IF(ISBLANK(B976),0,+#REF!/B976)</f>
        <v>#REF!</v>
      </c>
      <c r="J976" s="53">
        <f>IF(ISBLANK(B976),0,+J$889)</f>
        <v>492.51</v>
      </c>
      <c r="K976" s="17">
        <f>ROUND($B976*K$889,2)</f>
        <v>-0.03</v>
      </c>
      <c r="L976" s="17">
        <f>IF(ISBLANK($C976),0,IF($C976&lt;$C$890,ROUND($C$890*$L$889,2),IF($C976&gt;L$890,ROUND(L$890*L$889,2),ROUND($C976*L$889,2))))</f>
        <v>42600</v>
      </c>
      <c r="M976" s="17">
        <f>IF($C976&gt;L$890,ROUND(($C976-L$890)*M$889,2),0)</f>
        <v>0</v>
      </c>
      <c r="N976" s="17">
        <f>K976</f>
        <v>-0.03</v>
      </c>
      <c r="O976" s="17"/>
      <c r="P976" s="17"/>
      <c r="Q976" s="17">
        <f>SUM(L976:M976)</f>
        <v>42600</v>
      </c>
      <c r="R976" s="16" t="e">
        <f>ROUND(SUM(K976:M976)*(R975-1),2)</f>
        <v>#N/A</v>
      </c>
      <c r="S976" s="17">
        <f>ROUND($B976*S$889*S975,2)</f>
        <v>0</v>
      </c>
      <c r="T976" s="17">
        <f>ROUND($B976*T$889,2)</f>
        <v>0</v>
      </c>
      <c r="U976" s="17">
        <f>ROUND($B976*U$889,2)</f>
        <v>0</v>
      </c>
      <c r="V976" s="8">
        <f>ROUND($B976*V$888,2)</f>
        <v>0</v>
      </c>
      <c r="W976" s="17">
        <f>ROUND($B976*W$889,2)</f>
        <v>0</v>
      </c>
      <c r="X976" s="17">
        <f>ROUND($B976*X$889,2)</f>
        <v>0</v>
      </c>
      <c r="Y976" s="17">
        <f>ROUND($B976*Y$889,2)</f>
        <v>0</v>
      </c>
      <c r="Z976" s="17">
        <f>ROUND($B976*Z$889,2)</f>
        <v>0</v>
      </c>
      <c r="AA976" s="17">
        <f>ROUND($B976*AA$889,2)</f>
        <v>0</v>
      </c>
      <c r="AB976" s="19">
        <f>SUM(U$889:AA$889)+(-V$889+V960)</f>
        <v>2.3760000000000005E-3</v>
      </c>
      <c r="AC976" s="78" t="str">
        <f>+F976</f>
        <v>HL33</v>
      </c>
    </row>
    <row r="977" spans="1:29" ht="13" x14ac:dyDescent="0.3">
      <c r="A977" s="9"/>
      <c r="B977" s="111">
        <v>-1</v>
      </c>
      <c r="D977" s="8"/>
      <c r="E977" s="9"/>
      <c r="F977" s="37"/>
      <c r="G977" s="12"/>
      <c r="H977" s="12"/>
      <c r="J977" s="12"/>
      <c r="K977" s="12"/>
      <c r="L977" s="12"/>
      <c r="M977" s="12"/>
      <c r="N977" s="12"/>
      <c r="O977" s="12"/>
      <c r="P977" s="12"/>
      <c r="Q977" s="12"/>
      <c r="R977" s="39" t="e">
        <f>VLOOKUP((D978),'Pwr Factor'!$A$1:$B$52,2)</f>
        <v>#N/A</v>
      </c>
      <c r="S977" s="51">
        <v>0.25</v>
      </c>
      <c r="T977" s="12"/>
      <c r="U977" s="12"/>
      <c r="V977" s="12"/>
      <c r="W977" s="12"/>
      <c r="X977" s="12"/>
      <c r="Y977" s="12"/>
      <c r="Z977" s="12"/>
      <c r="AA977" s="12"/>
    </row>
    <row r="978" spans="1:29" ht="13" x14ac:dyDescent="0.3">
      <c r="A978" s="57" t="s">
        <v>158</v>
      </c>
      <c r="B978" s="111">
        <f>IF(AND('AES Indiana Sep 23 Bill Calc.'!$D$17="HL3",'AES Indiana Sep 23 Bill Calc.'!$D$18="Yes 25%",'AES Indiana Sep 23 Bill Calc.'!$D$20="Yes 2023"),'AES Indiana Sep 23 Bill Calc.'!$D$19,-1)</f>
        <v>-1</v>
      </c>
      <c r="C978" s="111">
        <f>MAX(E978,$C$701)</f>
        <v>2000</v>
      </c>
      <c r="D978" s="111" t="b">
        <f>IF(AND('AES Indiana Sep 23 Bill Calc.'!$D$17="HL3",'AES Indiana Sep 23 Bill Calc.'!$D$18="Yes 25%",'AES Indiana Sep 23 Bill Calc.'!$D$20="Yes 2022"),'AES Indiana Sep 23 Bill Calc.'!$D$22)</f>
        <v>0</v>
      </c>
      <c r="E978" s="111" t="b">
        <f>IF(AND('AES Indiana Sep 23 Bill Calc.'!$D$17="HL3",'AES Indiana Sep 23 Bill Calc.'!$D$18="Yes 25%",'AES Indiana Sep 23 Bill Calc.'!$D$20="Yes 2022"),'AES Indiana Sep 23 Bill Calc.'!$D$21)</f>
        <v>0</v>
      </c>
      <c r="F978" s="37" t="s">
        <v>301</v>
      </c>
      <c r="G978" s="113" t="e">
        <f>SUM(J978:M978,R978:AA978)</f>
        <v>#N/A</v>
      </c>
      <c r="H978" s="19" t="e">
        <f>IF(ISBLANK(B978),0,+#REF!/B978)</f>
        <v>#REF!</v>
      </c>
      <c r="J978" s="53">
        <f>IF(ISBLANK(B978),0,+J$889)</f>
        <v>492.51</v>
      </c>
      <c r="K978" s="17">
        <f>ROUND($B978*K$889,2)</f>
        <v>-0.03</v>
      </c>
      <c r="L978" s="17">
        <f>IF(ISBLANK($C978),0,IF($C978&lt;$C$890,ROUND($C$890*$L$889,2),IF($C978&gt;L$890,ROUND(L$890*L$889,2),ROUND($C978*L$889,2))))</f>
        <v>42600</v>
      </c>
      <c r="M978" s="17">
        <f>IF($C978&gt;L$890,ROUND(($C978-L$890)*M$889,2),0)</f>
        <v>0</v>
      </c>
      <c r="N978" s="17">
        <f>K978</f>
        <v>-0.03</v>
      </c>
      <c r="O978" s="17"/>
      <c r="P978" s="17"/>
      <c r="Q978" s="17">
        <f>SUM(L978:M978)</f>
        <v>42600</v>
      </c>
      <c r="R978" s="16" t="e">
        <f>ROUND(SUM(K978:M978)*(R977-1),2)</f>
        <v>#N/A</v>
      </c>
      <c r="S978" s="17">
        <f>ROUND($B978*S$889*S977,2)</f>
        <v>0</v>
      </c>
      <c r="T978" s="17">
        <f>ROUND($B978*T$889,2)</f>
        <v>0</v>
      </c>
      <c r="U978" s="17">
        <f>ROUND($B978*U$889,2)</f>
        <v>0</v>
      </c>
      <c r="V978" s="8">
        <f>ROUND($B978*V$888,2)</f>
        <v>0</v>
      </c>
      <c r="W978" s="17">
        <f>ROUND($B978*W$889,2)</f>
        <v>0</v>
      </c>
      <c r="X978" s="17">
        <f>ROUND($B978*X$889,2)</f>
        <v>0</v>
      </c>
      <c r="Y978" s="17">
        <f>ROUND($B978*Y$889,2)</f>
        <v>0</v>
      </c>
      <c r="Z978" s="17">
        <f>ROUND($B978*Z$889,2)</f>
        <v>0</v>
      </c>
      <c r="AA978" s="17">
        <f>ROUND($B978*AA$889,2)</f>
        <v>0</v>
      </c>
      <c r="AB978" s="19">
        <f>SUM(U$889:AA$889)+(-V$889+V962)</f>
        <v>2.3760000000000005E-3</v>
      </c>
      <c r="AC978" s="78" t="str">
        <f>+F978</f>
        <v>HL33</v>
      </c>
    </row>
    <row r="979" spans="1:29" ht="13" x14ac:dyDescent="0.3">
      <c r="A979" s="9"/>
      <c r="B979" s="111">
        <v>-1</v>
      </c>
      <c r="D979" s="8"/>
      <c r="E979" s="9"/>
      <c r="F979" s="37"/>
      <c r="G979" s="12"/>
      <c r="H979" s="12"/>
      <c r="J979" s="12"/>
      <c r="K979" s="12"/>
      <c r="L979" s="12"/>
      <c r="M979" s="12"/>
      <c r="N979" s="12"/>
      <c r="O979" s="12"/>
      <c r="P979" s="12"/>
      <c r="Q979" s="12"/>
      <c r="R979" s="39" t="e">
        <f>VLOOKUP((D980),'Pwr Factor'!$A$1:$B$52,2)</f>
        <v>#N/A</v>
      </c>
      <c r="S979" s="51">
        <v>0.1</v>
      </c>
      <c r="T979" s="12"/>
      <c r="U979" s="12"/>
      <c r="V979" s="12"/>
      <c r="W979" s="12"/>
      <c r="X979" s="12"/>
      <c r="Y979" s="12"/>
      <c r="Z979" s="12"/>
      <c r="AA979" s="12"/>
    </row>
    <row r="980" spans="1:29" ht="13" x14ac:dyDescent="0.3">
      <c r="A980" s="57" t="s">
        <v>173</v>
      </c>
      <c r="B980" s="111">
        <f>IF(AND('AES Indiana Sep 23 Bill Calc.'!$D$17="HL3",'AES Indiana Sep 23 Bill Calc.'!$D$18="Yes 10%",'AES Indiana Sep 23 Bill Calc.'!$D$20="Yes 2023"),'AES Indiana Sep 23 Bill Calc.'!$D$19,-1)</f>
        <v>-1</v>
      </c>
      <c r="C980" s="111">
        <f>MAX(E980,$C$701)</f>
        <v>2000</v>
      </c>
      <c r="D980" s="111" t="b">
        <f>IF(AND('AES Indiana Sep 23 Bill Calc.'!$D$17="HL3",'AES Indiana Sep 23 Bill Calc.'!$D$18="Yes 10%",'AES Indiana Sep 23 Bill Calc.'!$D$20="Yes 2022"),'AES Indiana Sep 23 Bill Calc.'!$D$22)</f>
        <v>0</v>
      </c>
      <c r="E980" s="111" t="b">
        <f>IF(AND('AES Indiana Sep 23 Bill Calc.'!$D$17="HL3",'AES Indiana Sep 23 Bill Calc.'!$D$18="Yes 10%",'AES Indiana Sep 23 Bill Calc.'!$D$20="Yes 2022"),'AES Indiana Sep 23 Bill Calc.'!$D$21)</f>
        <v>0</v>
      </c>
      <c r="F980" s="37" t="s">
        <v>301</v>
      </c>
      <c r="G980" s="113" t="e">
        <f>SUM(J980:M980,R980:AA980)</f>
        <v>#N/A</v>
      </c>
      <c r="H980" s="19" t="e">
        <f>IF(ISBLANK(B980),0,+#REF!/B980)</f>
        <v>#REF!</v>
      </c>
      <c r="J980" s="53">
        <f>IF(ISBLANK(B980),0,+J$889)</f>
        <v>492.51</v>
      </c>
      <c r="K980" s="17">
        <f>ROUND($B980*K$889,2)</f>
        <v>-0.03</v>
      </c>
      <c r="L980" s="17">
        <f>IF(ISBLANK($C980),0,IF($C980&lt;$C$890,ROUND($C$890*$L$889,2),IF($C980&gt;L$890,ROUND(L$890*L$889,2),ROUND($C980*L$889,2))))</f>
        <v>42600</v>
      </c>
      <c r="M980" s="17">
        <f>IF($C980&gt;L$890,ROUND(($C980-L$890)*M$889,2),0)</f>
        <v>0</v>
      </c>
      <c r="N980" s="17">
        <f>K980</f>
        <v>-0.03</v>
      </c>
      <c r="O980" s="17"/>
      <c r="P980" s="17"/>
      <c r="Q980" s="17">
        <f>SUM(L980:M980)</f>
        <v>42600</v>
      </c>
      <c r="R980" s="16" t="e">
        <f>ROUND(SUM(K980:M980)*(R979-1),2)</f>
        <v>#N/A</v>
      </c>
      <c r="S980" s="17">
        <f>ROUND($B980*S$889*S979,2)</f>
        <v>0</v>
      </c>
      <c r="T980" s="17">
        <f>ROUND($B980*T$889,2)</f>
        <v>0</v>
      </c>
      <c r="U980" s="17">
        <f>ROUND($B980*U$889,2)</f>
        <v>0</v>
      </c>
      <c r="V980" s="8">
        <f>ROUND($B980*V$888,2)</f>
        <v>0</v>
      </c>
      <c r="W980" s="17">
        <f>ROUND($B980*W$889,2)</f>
        <v>0</v>
      </c>
      <c r="X980" s="17">
        <f>ROUND($B980*X$889,2)</f>
        <v>0</v>
      </c>
      <c r="Y980" s="17">
        <f>ROUND($B980*Y$889,2)</f>
        <v>0</v>
      </c>
      <c r="Z980" s="17">
        <f>ROUND($B980*Z$889,2)</f>
        <v>0</v>
      </c>
      <c r="AA980" s="17">
        <f>ROUND($B980*AA$889,2)</f>
        <v>0</v>
      </c>
      <c r="AB980" s="19">
        <f>SUM(U$889:AA$889)+(-V$889+V964)</f>
        <v>2.3760000000000005E-3</v>
      </c>
      <c r="AC980" s="78" t="str">
        <f>+F980</f>
        <v>HL33</v>
      </c>
    </row>
    <row r="981" spans="1:29" ht="13" x14ac:dyDescent="0.3">
      <c r="A981" s="9"/>
      <c r="B981" s="111">
        <v>-1</v>
      </c>
      <c r="D981" s="8"/>
      <c r="E981" s="9"/>
      <c r="F981" s="37"/>
      <c r="G981" s="12"/>
      <c r="H981" s="12"/>
      <c r="J981" s="12"/>
      <c r="K981" s="12"/>
      <c r="L981" s="12"/>
      <c r="M981" s="12"/>
      <c r="N981" s="12"/>
      <c r="O981" s="12"/>
      <c r="P981" s="12"/>
      <c r="Q981" s="12"/>
      <c r="R981" s="39" t="e">
        <f>VLOOKUP((D982),'Pwr Factor'!$A$1:$B$52,2)</f>
        <v>#N/A</v>
      </c>
      <c r="S981" s="51">
        <v>0</v>
      </c>
      <c r="T981" s="12"/>
      <c r="U981" s="12"/>
      <c r="V981" s="12"/>
      <c r="W981" s="12"/>
      <c r="X981" s="12"/>
      <c r="Y981" s="12"/>
      <c r="Z981" s="12"/>
      <c r="AA981" s="12"/>
    </row>
    <row r="982" spans="1:29" ht="13" x14ac:dyDescent="0.3">
      <c r="A982" s="57" t="s">
        <v>172</v>
      </c>
      <c r="B982" s="111">
        <f>IF(AND('AES Indiana Sep 23 Bill Calc.'!$D$17="HL3",'AES Indiana Sep 23 Bill Calc.'!$D$18="No",'AES Indiana Sep 23 Bill Calc.'!$D$20="Yes 2023"),'AES Indiana Sep 23 Bill Calc.'!$D$19,-1)</f>
        <v>-1</v>
      </c>
      <c r="C982" s="111">
        <f>MAX(E982,$C$701)</f>
        <v>2000</v>
      </c>
      <c r="D982" s="111" t="b">
        <f>IF(AND('AES Indiana Sep 23 Bill Calc.'!$D$17="HL3",'AES Indiana Sep 23 Bill Calc.'!$D$18="No",'AES Indiana Sep 23 Bill Calc.'!$D$20="Yes 2022"),'AES Indiana Sep 23 Bill Calc.'!$D$22)</f>
        <v>0</v>
      </c>
      <c r="E982" s="111" t="b">
        <f>IF(AND('AES Indiana Sep 23 Bill Calc.'!$D$17="HL3",'AES Indiana Sep 23 Bill Calc.'!$D$18="No",'AES Indiana Sep 23 Bill Calc.'!$D$20="Yes 2022"),'AES Indiana Sep 23 Bill Calc.'!$D$21)</f>
        <v>0</v>
      </c>
      <c r="F982" s="37" t="s">
        <v>301</v>
      </c>
      <c r="G982" s="113" t="e">
        <f>SUM(J982:M982,R982:AA982)</f>
        <v>#N/A</v>
      </c>
      <c r="H982" s="19" t="e">
        <f>IF(ISBLANK(B982),0,+#REF!/B982)</f>
        <v>#REF!</v>
      </c>
      <c r="J982" s="53">
        <f>IF(ISBLANK(B982),0,+J$889)</f>
        <v>492.51</v>
      </c>
      <c r="K982" s="17">
        <f>ROUND($B982*K$889,2)</f>
        <v>-0.03</v>
      </c>
      <c r="L982" s="17">
        <f>IF(ISBLANK($C982),0,IF($C982&lt;$C$890,ROUND($C$890*$L$889,2),IF($C982&gt;L$890,ROUND(L$890*L$889,2),ROUND($C982*L$889,2))))</f>
        <v>42600</v>
      </c>
      <c r="M982" s="17">
        <f>IF($C982&gt;L$890,ROUND(($C982-L$890)*M$889,2),0)</f>
        <v>0</v>
      </c>
      <c r="N982" s="17">
        <f>K982</f>
        <v>-0.03</v>
      </c>
      <c r="O982" s="17"/>
      <c r="P982" s="17"/>
      <c r="Q982" s="17">
        <f>SUM(L982:M982)</f>
        <v>42600</v>
      </c>
      <c r="R982" s="16" t="e">
        <f>ROUND(SUM(K982:M982)*(R981-1),2)</f>
        <v>#N/A</v>
      </c>
      <c r="S982" s="17">
        <f>ROUND($B982*S$889*S981,2)</f>
        <v>0</v>
      </c>
      <c r="T982" s="17">
        <f>ROUND($B982*T$889,2)</f>
        <v>0</v>
      </c>
      <c r="U982" s="17">
        <f>ROUND($B982*U$889,2)</f>
        <v>0</v>
      </c>
      <c r="V982" s="8">
        <f>ROUND($B982*V$888,2)</f>
        <v>0</v>
      </c>
      <c r="W982" s="17">
        <f>ROUND($B982*W$889,2)</f>
        <v>0</v>
      </c>
      <c r="X982" s="17">
        <f>ROUND($B982*X$889,2)</f>
        <v>0</v>
      </c>
      <c r="Y982" s="17">
        <f>ROUND($B982*Y$889,2)</f>
        <v>0</v>
      </c>
      <c r="Z982" s="17">
        <f>ROUND($B982*Z$889,2)</f>
        <v>0</v>
      </c>
      <c r="AA982" s="17">
        <f>ROUND($B982*AA$889,2)</f>
        <v>0</v>
      </c>
      <c r="AB982" s="19">
        <f>SUM(U$889:AA$889)+(-V$889+V966)</f>
        <v>2.3760000000000005E-3</v>
      </c>
      <c r="AC982" s="78" t="str">
        <f>+F982</f>
        <v>HL33</v>
      </c>
    </row>
    <row r="983" spans="1:29" ht="13" x14ac:dyDescent="0.3">
      <c r="A983" s="57"/>
      <c r="B983" s="111">
        <v>-1</v>
      </c>
      <c r="C983" s="111"/>
      <c r="D983" s="111"/>
      <c r="E983" s="111"/>
      <c r="F983" s="37"/>
      <c r="G983" s="113"/>
      <c r="H983" s="19"/>
      <c r="J983" s="53"/>
      <c r="K983" s="17"/>
      <c r="L983" s="17"/>
      <c r="M983" s="17"/>
      <c r="N983" s="17"/>
      <c r="O983" s="17"/>
      <c r="P983" s="17"/>
      <c r="Q983" s="17"/>
      <c r="R983" s="16"/>
      <c r="S983" s="17"/>
      <c r="T983" s="17"/>
      <c r="U983" s="17"/>
      <c r="V983" s="8"/>
      <c r="W983" s="17"/>
      <c r="X983" s="17"/>
      <c r="Y983" s="17"/>
      <c r="Z983" s="17"/>
      <c r="AA983" s="17"/>
      <c r="AB983" s="19"/>
      <c r="AC983" s="78"/>
    </row>
    <row r="984" spans="1:29" x14ac:dyDescent="0.25">
      <c r="B984" s="111">
        <v>-1</v>
      </c>
      <c r="C984" s="9"/>
      <c r="D984" s="8"/>
      <c r="S984" s="6"/>
      <c r="T984" s="6"/>
      <c r="U984" s="6"/>
      <c r="V984" s="27" t="s">
        <v>160</v>
      </c>
      <c r="W984" s="6"/>
      <c r="AB984" s="19"/>
    </row>
    <row r="985" spans="1:29" x14ac:dyDescent="0.25">
      <c r="B985" s="111">
        <v>-1</v>
      </c>
      <c r="C985" s="9"/>
      <c r="D985" s="8"/>
      <c r="F985" s="82"/>
      <c r="G985" s="82"/>
      <c r="H985" s="82"/>
      <c r="I985" s="82"/>
      <c r="J985" s="84">
        <v>492.51</v>
      </c>
      <c r="K985" s="83">
        <v>4.6897000000000001E-2</v>
      </c>
      <c r="L985" s="84">
        <v>14.59</v>
      </c>
      <c r="M985" s="84">
        <v>14.59</v>
      </c>
      <c r="N985" s="84"/>
      <c r="O985" s="84"/>
      <c r="P985" s="84"/>
      <c r="Q985" s="84"/>
      <c r="R985" s="5"/>
      <c r="S985" s="27">
        <f>S889</f>
        <v>3.0000000000000001E-3</v>
      </c>
      <c r="T985" s="27">
        <f>T889</f>
        <v>-3.1020000000000002E-3</v>
      </c>
      <c r="U985" s="19">
        <f>$S$28</f>
        <v>1.206E-3</v>
      </c>
      <c r="V985" s="27">
        <f>$T$16</f>
        <v>1.18E-4</v>
      </c>
      <c r="W985" s="27">
        <v>0</v>
      </c>
      <c r="X985" s="27">
        <f>+X889</f>
        <v>5.3899999999999998E-4</v>
      </c>
      <c r="Y985" s="27">
        <f>+Y889</f>
        <v>1.39E-3</v>
      </c>
      <c r="Z985" s="27">
        <f>+Z889</f>
        <v>-9.7799999999999992E-4</v>
      </c>
      <c r="AA985" s="27">
        <f>+AA889</f>
        <v>2.1900000000000001E-4</v>
      </c>
      <c r="AB985" s="19">
        <f>SUM(V985:Z985)</f>
        <v>1.0690000000000003E-3</v>
      </c>
    </row>
    <row r="986" spans="1:29" x14ac:dyDescent="0.25">
      <c r="A986" s="1"/>
      <c r="B986" s="111">
        <v>-1</v>
      </c>
      <c r="C986" s="9"/>
      <c r="D986" s="8"/>
      <c r="F986" s="82"/>
      <c r="G986" s="82"/>
      <c r="H986" s="82"/>
      <c r="I986" s="82"/>
      <c r="J986" s="82"/>
      <c r="K986" s="82"/>
      <c r="L986" s="85">
        <v>4000</v>
      </c>
      <c r="M986" s="82"/>
      <c r="N986" s="82"/>
      <c r="O986" s="82"/>
      <c r="P986" s="82"/>
      <c r="Q986" s="82"/>
    </row>
    <row r="987" spans="1:29" x14ac:dyDescent="0.25">
      <c r="B987" s="111">
        <v>-1</v>
      </c>
      <c r="C987" s="9"/>
      <c r="D987" s="8"/>
      <c r="F987" s="12"/>
      <c r="J987" s="12" t="s">
        <v>1</v>
      </c>
      <c r="K987" s="12" t="s">
        <v>31</v>
      </c>
      <c r="L987" s="256" t="s">
        <v>32</v>
      </c>
      <c r="M987" s="256"/>
      <c r="N987" s="12"/>
      <c r="O987" s="12"/>
      <c r="P987" s="12"/>
      <c r="Q987" s="73" t="s">
        <v>175</v>
      </c>
      <c r="R987" s="12" t="s">
        <v>33</v>
      </c>
      <c r="S987" s="12">
        <v>21</v>
      </c>
      <c r="T987" s="12">
        <v>6</v>
      </c>
      <c r="U987" s="12">
        <v>3</v>
      </c>
      <c r="V987" s="12">
        <v>22</v>
      </c>
      <c r="W987" s="12">
        <v>13</v>
      </c>
      <c r="X987" s="12">
        <v>20</v>
      </c>
      <c r="Y987" s="12">
        <v>24</v>
      </c>
      <c r="Z987" s="12">
        <v>25</v>
      </c>
      <c r="AA987" s="12">
        <v>26</v>
      </c>
    </row>
    <row r="988" spans="1:29" x14ac:dyDescent="0.25">
      <c r="A988" s="13"/>
      <c r="B988" s="111">
        <v>-1</v>
      </c>
      <c r="C988" s="122" t="s">
        <v>135</v>
      </c>
      <c r="D988" s="123" t="s">
        <v>136</v>
      </c>
      <c r="E988" s="157" t="s">
        <v>260</v>
      </c>
      <c r="F988" s="13" t="s">
        <v>4</v>
      </c>
      <c r="G988" s="13" t="s">
        <v>12</v>
      </c>
      <c r="H988" s="13" t="s">
        <v>13</v>
      </c>
      <c r="J988" s="13" t="s">
        <v>5</v>
      </c>
      <c r="K988" s="13" t="s">
        <v>5</v>
      </c>
      <c r="L988" s="13" t="s">
        <v>40</v>
      </c>
      <c r="M988" s="13" t="s">
        <v>41</v>
      </c>
      <c r="N988" s="73" t="s">
        <v>176</v>
      </c>
      <c r="O988" s="13"/>
      <c r="P988" s="13"/>
      <c r="Q988" s="13"/>
      <c r="R988" s="13" t="s">
        <v>35</v>
      </c>
      <c r="S988" s="13" t="s">
        <v>70</v>
      </c>
      <c r="T988" s="13" t="s">
        <v>9</v>
      </c>
      <c r="U988" s="80" t="s">
        <v>161</v>
      </c>
      <c r="V988" s="13" t="s">
        <v>79</v>
      </c>
      <c r="W988" s="13" t="s">
        <v>10</v>
      </c>
      <c r="X988" s="13" t="s">
        <v>11</v>
      </c>
      <c r="Y988" s="80" t="s">
        <v>104</v>
      </c>
      <c r="Z988" s="80" t="s">
        <v>105</v>
      </c>
      <c r="AA988" s="80" t="s">
        <v>106</v>
      </c>
      <c r="AB988" s="77" t="s">
        <v>71</v>
      </c>
    </row>
    <row r="989" spans="1:29" ht="13" x14ac:dyDescent="0.3">
      <c r="B989" s="111">
        <v>-1</v>
      </c>
      <c r="C989" s="9"/>
      <c r="D989" s="8"/>
      <c r="F989" s="37"/>
      <c r="G989" s="17"/>
      <c r="H989" s="19"/>
      <c r="J989" s="8"/>
      <c r="K989" s="17"/>
      <c r="L989" s="17"/>
      <c r="M989" s="17"/>
      <c r="N989" s="17"/>
      <c r="O989" s="17"/>
      <c r="P989" s="17"/>
      <c r="Q989" s="17"/>
      <c r="R989" s="39" t="e">
        <f>VLOOKUP((D990),'Pwr Factor'!$A$1:$B$52,2)</f>
        <v>#N/A</v>
      </c>
      <c r="S989" s="51">
        <v>1</v>
      </c>
      <c r="T989" s="17"/>
      <c r="U989" s="17"/>
      <c r="V989" s="17"/>
      <c r="W989" s="17"/>
      <c r="X989" s="17"/>
      <c r="Y989" s="17"/>
      <c r="Z989" s="17"/>
      <c r="AA989" s="17"/>
    </row>
    <row r="990" spans="1:29" ht="13" x14ac:dyDescent="0.3">
      <c r="A990" s="1" t="s">
        <v>73</v>
      </c>
      <c r="B990" s="111">
        <f>IF(AND('AES Indiana Sep 23 Bill Calc.'!$D$17="HL4",'AES Indiana Sep 23 Bill Calc.'!$D$18="Yes 100%",'AES Indiana Sep 23 Bill Calc.'!$D$20="No"),'AES Indiana Sep 23 Bill Calc.'!$D$19,-1)</f>
        <v>-1</v>
      </c>
      <c r="C990" s="111">
        <f>MAX(E990,$C$701)</f>
        <v>2000</v>
      </c>
      <c r="D990" s="111" t="b">
        <f>IF(AND('AES Indiana Sep 23 Bill Calc.'!$D$17="HL4",'AES Indiana Sep 23 Bill Calc.'!$D$18="Yes 100%",'AES Indiana Sep 23 Bill Calc.'!$D$20="No"),'AES Indiana Sep 23 Bill Calc.'!$D$22)</f>
        <v>0</v>
      </c>
      <c r="E990" s="111" t="b">
        <f>IF(AND('AES Indiana Sep 23 Bill Calc.'!$D$17="HL4",'AES Indiana Sep 23 Bill Calc.'!$D$18="Yes 100%",'AES Indiana Sep 23 Bill Calc.'!$D$20="No"),'AES Indiana Sep 23 Bill Calc.'!$D$21)</f>
        <v>0</v>
      </c>
      <c r="F990" s="37" t="s">
        <v>188</v>
      </c>
      <c r="G990" s="113" t="e">
        <f>SUM(J990:M990,R990:AA990)</f>
        <v>#N/A</v>
      </c>
      <c r="H990" s="19" t="e">
        <f>IF(ISBLANK(B990),0,+#REF!/B990)</f>
        <v>#REF!</v>
      </c>
      <c r="J990" s="53">
        <f>IF(ISBLANK(B990),0,+J$889)</f>
        <v>492.51</v>
      </c>
      <c r="K990" s="17">
        <f>ROUND($B990*K$985,2)</f>
        <v>-0.05</v>
      </c>
      <c r="L990" s="17">
        <f>IF(ISBLANK($C990),0,IF($C990&lt;$C$890,ROUND($C$890*$L$985,2),IF($C990&gt;L$986,ROUND(L$986*L$985,2),ROUND($C990*L$985,2))))</f>
        <v>29180</v>
      </c>
      <c r="M990" s="17">
        <f>IF($C990&gt;L$797,ROUND(($C990-L$797)*M$796,2),0)</f>
        <v>0</v>
      </c>
      <c r="N990" s="17">
        <f>K990</f>
        <v>-0.05</v>
      </c>
      <c r="O990" s="17"/>
      <c r="P990" s="17"/>
      <c r="Q990" s="17">
        <f>SUM(L990:M990)</f>
        <v>29180</v>
      </c>
      <c r="R990" s="16" t="e">
        <f>ROUND(SUM(K990:M990)*(R989-1),2)</f>
        <v>#N/A</v>
      </c>
      <c r="S990" s="17">
        <f>ROUND($B990*S$889*S989,2)</f>
        <v>0</v>
      </c>
      <c r="T990" s="17">
        <f>ROUND($B990*T$985,2)</f>
        <v>0</v>
      </c>
      <c r="U990" s="17">
        <f>ROUND($B990*U$985,2)</f>
        <v>0</v>
      </c>
      <c r="V990" s="17">
        <f>ROUND($B990*V$889,2)</f>
        <v>-0.01</v>
      </c>
      <c r="W990" s="17">
        <f>ROUND($B990*W$985,2)</f>
        <v>0</v>
      </c>
      <c r="X990" s="17">
        <f>ROUND($B990*X$985,2)</f>
        <v>0</v>
      </c>
      <c r="Y990" s="17">
        <f>ROUND($B990*Y$985,2)</f>
        <v>0</v>
      </c>
      <c r="Z990" s="17">
        <f>ROUND($B990*Z$985,2)</f>
        <v>0</v>
      </c>
      <c r="AA990" s="17">
        <f>ROUND($B990*AA$985,2)</f>
        <v>0</v>
      </c>
      <c r="AB990" s="19">
        <f>SUM(V942:AA942)</f>
        <v>0</v>
      </c>
      <c r="AC990" s="78" t="str">
        <f>+F990</f>
        <v>HL4</v>
      </c>
    </row>
    <row r="991" spans="1:29" ht="13" x14ac:dyDescent="0.3">
      <c r="A991" s="49"/>
      <c r="B991" s="111">
        <v>-1</v>
      </c>
      <c r="D991" s="8"/>
      <c r="E991" s="9"/>
      <c r="F991" s="37"/>
      <c r="G991" s="17"/>
      <c r="H991" s="19"/>
      <c r="J991" s="8"/>
      <c r="K991" s="17"/>
      <c r="L991" s="17"/>
      <c r="M991" s="17"/>
      <c r="N991" s="17"/>
      <c r="O991" s="17"/>
      <c r="P991" s="17"/>
      <c r="Q991" s="17"/>
      <c r="R991" s="39" t="e">
        <f>VLOOKUP((D992),'Pwr Factor'!$A$1:$B$52,2)</f>
        <v>#N/A</v>
      </c>
      <c r="S991" s="51">
        <v>0.5</v>
      </c>
      <c r="T991" s="17"/>
      <c r="U991" s="17"/>
      <c r="V991" s="17"/>
      <c r="W991" s="17"/>
      <c r="X991" s="17"/>
      <c r="Y991" s="17"/>
      <c r="Z991" s="17"/>
      <c r="AA991" s="17"/>
    </row>
    <row r="992" spans="1:29" ht="13" x14ac:dyDescent="0.3">
      <c r="A992" s="57" t="s">
        <v>171</v>
      </c>
      <c r="B992" s="111">
        <f>IF(AND('AES Indiana Sep 23 Bill Calc.'!$D$17="HL4",'AES Indiana Sep 23 Bill Calc.'!$D$18="Yes 50%",'AES Indiana Sep 23 Bill Calc.'!$D$20="No"),'AES Indiana Sep 23 Bill Calc.'!$D$19,-1)</f>
        <v>-1</v>
      </c>
      <c r="C992" s="111">
        <f>MAX(E992,$C$701)</f>
        <v>2000</v>
      </c>
      <c r="D992" s="111" t="b">
        <f>IF(AND('AES Indiana Sep 23 Bill Calc.'!$D$17="HL4",'AES Indiana Sep 23 Bill Calc.'!$D$18="Yes 50%",'AES Indiana Sep 23 Bill Calc.'!$D$20="No"),'AES Indiana Sep 23 Bill Calc.'!$D$22)</f>
        <v>0</v>
      </c>
      <c r="E992" s="111" t="b">
        <f>IF(AND('AES Indiana Sep 23 Bill Calc.'!$D$17="HL4",'AES Indiana Sep 23 Bill Calc.'!$D$18="Yes 50%",'AES Indiana Sep 23 Bill Calc.'!$D$20="No"),'AES Indiana Sep 23 Bill Calc.'!$D$21)</f>
        <v>0</v>
      </c>
      <c r="F992" s="37" t="s">
        <v>188</v>
      </c>
      <c r="G992" s="113" t="e">
        <f>SUM(J992:M992,R992:AA992)</f>
        <v>#N/A</v>
      </c>
      <c r="H992" s="19" t="e">
        <f>IF(ISBLANK(B992),0,+#REF!/B992)</f>
        <v>#REF!</v>
      </c>
      <c r="J992" s="53">
        <f>IF(ISBLANK(B992),0,+J$889)</f>
        <v>492.51</v>
      </c>
      <c r="K992" s="17">
        <f>ROUND($B992*K$985,2)</f>
        <v>-0.05</v>
      </c>
      <c r="L992" s="17">
        <f>IF(ISBLANK($C992),0,IF($C992&lt;$C$890,ROUND($C$890*$L$985,2),IF($C992&gt;L$986,ROUND(L$986*L$985,2),ROUND($C992*L$985,2))))</f>
        <v>29180</v>
      </c>
      <c r="M992" s="17">
        <f>IF($C992&gt;L$797,ROUND(($C992-L$797)*M$796,2),0)</f>
        <v>0</v>
      </c>
      <c r="N992" s="17">
        <f>K992</f>
        <v>-0.05</v>
      </c>
      <c r="O992" s="17"/>
      <c r="P992" s="17"/>
      <c r="Q992" s="17">
        <f>SUM(L992:M992)</f>
        <v>29180</v>
      </c>
      <c r="R992" s="16" t="e">
        <f>ROUND(SUM(K992:M992)*(R991-1),2)</f>
        <v>#N/A</v>
      </c>
      <c r="S992" s="17">
        <f>ROUND($B992*S$889*S991,2)</f>
        <v>0</v>
      </c>
      <c r="T992" s="17">
        <f>ROUND($B992*T$985,2)</f>
        <v>0</v>
      </c>
      <c r="U992" s="17">
        <f>ROUND($B992*U$985,2)</f>
        <v>0</v>
      </c>
      <c r="V992" s="17">
        <f>ROUND($B992*V$889,2)</f>
        <v>-0.01</v>
      </c>
      <c r="W992" s="17">
        <f>ROUND($B992*W$985,2)</f>
        <v>0</v>
      </c>
      <c r="X992" s="17">
        <f>ROUND($B992*X$985,2)</f>
        <v>0</v>
      </c>
      <c r="Y992" s="17">
        <f>ROUND($B992*Y$985,2)</f>
        <v>0</v>
      </c>
      <c r="Z992" s="17">
        <f>ROUND($B992*Z$985,2)</f>
        <v>0</v>
      </c>
      <c r="AA992" s="17">
        <f>ROUND($B992*AA$985,2)</f>
        <v>0</v>
      </c>
      <c r="AB992" s="19">
        <f>SUM(V944:AA944)</f>
        <v>0</v>
      </c>
      <c r="AC992" s="78" t="str">
        <f>+F992</f>
        <v>HL4</v>
      </c>
    </row>
    <row r="993" spans="1:29" ht="13" x14ac:dyDescent="0.3">
      <c r="A993" s="9"/>
      <c r="B993" s="111">
        <v>-1</v>
      </c>
      <c r="D993" s="8"/>
      <c r="E993" s="9"/>
      <c r="F993" s="37"/>
      <c r="G993" s="17"/>
      <c r="H993" s="19"/>
      <c r="J993" s="8"/>
      <c r="K993" s="17"/>
      <c r="L993" s="17"/>
      <c r="M993" s="17"/>
      <c r="N993" s="17"/>
      <c r="O993" s="17"/>
      <c r="P993" s="17"/>
      <c r="Q993" s="17"/>
      <c r="R993" s="39" t="e">
        <f>VLOOKUP((D994),'Pwr Factor'!$A$1:$B$52,2)</f>
        <v>#N/A</v>
      </c>
      <c r="S993" s="51">
        <v>0.25</v>
      </c>
      <c r="T993" s="17"/>
      <c r="U993" s="17"/>
      <c r="V993" s="17"/>
      <c r="W993" s="17"/>
      <c r="X993" s="17"/>
      <c r="Y993" s="17"/>
      <c r="Z993" s="17"/>
      <c r="AA993" s="17"/>
    </row>
    <row r="994" spans="1:29" ht="13" x14ac:dyDescent="0.3">
      <c r="A994" s="57" t="s">
        <v>158</v>
      </c>
      <c r="B994" s="111">
        <f>IF(AND('AES Indiana Sep 23 Bill Calc.'!$D$17="HL4",'AES Indiana Sep 23 Bill Calc.'!$D$18="Yes 25%",'AES Indiana Sep 23 Bill Calc.'!$D$20="No"),'AES Indiana Sep 23 Bill Calc.'!$D$19,-1)</f>
        <v>-1</v>
      </c>
      <c r="C994" s="111">
        <f>MAX(E994,$C$701)</f>
        <v>2000</v>
      </c>
      <c r="D994" s="111" t="b">
        <f>IF(AND('AES Indiana Sep 23 Bill Calc.'!$D$17="HL4",'AES Indiana Sep 23 Bill Calc.'!$D$18="Yes 25%",'AES Indiana Sep 23 Bill Calc.'!$D$20="No"),'AES Indiana Sep 23 Bill Calc.'!$D$22)</f>
        <v>0</v>
      </c>
      <c r="E994" s="111" t="b">
        <f>IF(AND('AES Indiana Sep 23 Bill Calc.'!$D$17="HL4",'AES Indiana Sep 23 Bill Calc.'!$D$18="Yes 25%",'AES Indiana Sep 23 Bill Calc.'!$D$20="No"),'AES Indiana Sep 23 Bill Calc.'!$D$21)</f>
        <v>0</v>
      </c>
      <c r="F994" s="37" t="s">
        <v>188</v>
      </c>
      <c r="G994" s="113" t="e">
        <f>SUM(J994:M994,R994:AA994)</f>
        <v>#N/A</v>
      </c>
      <c r="H994" s="19" t="e">
        <f>IF(ISBLANK(B994),0,+#REF!/B994)</f>
        <v>#REF!</v>
      </c>
      <c r="J994" s="53">
        <f>IF(ISBLANK(B994),0,+J$889)</f>
        <v>492.51</v>
      </c>
      <c r="K994" s="17">
        <f>ROUND($B994*K$985,2)</f>
        <v>-0.05</v>
      </c>
      <c r="L994" s="17">
        <f>IF(ISBLANK($C994),0,IF($C994&lt;$C$890,ROUND($C$890*$L$985,2),IF($C994&gt;L$986,ROUND(L$986*L$985,2),ROUND($C994*L$985,2))))</f>
        <v>29180</v>
      </c>
      <c r="M994" s="17">
        <f>IF($C994&gt;L$797,ROUND(($C994-L$797)*M$796,2),0)</f>
        <v>0</v>
      </c>
      <c r="N994" s="17">
        <f>K994</f>
        <v>-0.05</v>
      </c>
      <c r="O994" s="17"/>
      <c r="P994" s="17"/>
      <c r="Q994" s="17">
        <f>SUM(L994:M994)</f>
        <v>29180</v>
      </c>
      <c r="R994" s="16" t="e">
        <f>ROUND(SUM(K994:M994)*(R993-1),2)</f>
        <v>#N/A</v>
      </c>
      <c r="S994" s="17">
        <f>ROUND($B994*S$889*S993,2)</f>
        <v>0</v>
      </c>
      <c r="T994" s="17">
        <f>ROUND($B994*T$985,2)</f>
        <v>0</v>
      </c>
      <c r="U994" s="17">
        <f>ROUND($B994*U$985,2)</f>
        <v>0</v>
      </c>
      <c r="V994" s="17">
        <f>ROUND($B994*V$889,2)</f>
        <v>-0.01</v>
      </c>
      <c r="W994" s="17">
        <f>ROUND($B994*W$985,2)</f>
        <v>0</v>
      </c>
      <c r="X994" s="17">
        <f>ROUND($B994*X$985,2)</f>
        <v>0</v>
      </c>
      <c r="Y994" s="17">
        <f>ROUND($B994*Y$985,2)</f>
        <v>0</v>
      </c>
      <c r="Z994" s="17">
        <f>ROUND($B994*Z$985,2)</f>
        <v>0</v>
      </c>
      <c r="AA994" s="17">
        <f>ROUND($B994*AA$985,2)</f>
        <v>0</v>
      </c>
      <c r="AB994" s="19">
        <f>SUM(V946:AA946)</f>
        <v>0</v>
      </c>
      <c r="AC994" s="78" t="str">
        <f>+F994</f>
        <v>HL4</v>
      </c>
    </row>
    <row r="995" spans="1:29" ht="13" x14ac:dyDescent="0.3">
      <c r="A995" s="9"/>
      <c r="B995" s="111">
        <v>-1</v>
      </c>
      <c r="D995" s="8"/>
      <c r="E995" s="9"/>
      <c r="F995" s="37"/>
      <c r="G995" s="17"/>
      <c r="H995" s="19"/>
      <c r="J995" s="8"/>
      <c r="K995" s="17"/>
      <c r="L995" s="17"/>
      <c r="M995" s="17"/>
      <c r="N995" s="17"/>
      <c r="O995" s="17"/>
      <c r="P995" s="17"/>
      <c r="Q995" s="17"/>
      <c r="R995" s="39" t="e">
        <f>VLOOKUP((D996),'Pwr Factor'!$A$1:$B$52,2)</f>
        <v>#N/A</v>
      </c>
      <c r="S995" s="51">
        <v>0.1</v>
      </c>
      <c r="T995" s="17"/>
      <c r="U995" s="17"/>
      <c r="V995" s="17"/>
      <c r="W995" s="17"/>
      <c r="X995" s="17"/>
      <c r="Y995" s="17"/>
      <c r="Z995" s="17"/>
      <c r="AA995" s="17"/>
    </row>
    <row r="996" spans="1:29" ht="13" x14ac:dyDescent="0.3">
      <c r="A996" s="57" t="s">
        <v>173</v>
      </c>
      <c r="B996" s="111">
        <f>IF(AND('AES Indiana Sep 23 Bill Calc.'!$D$17="HL4",'AES Indiana Sep 23 Bill Calc.'!$D$18="Yes 10%",'AES Indiana Sep 23 Bill Calc.'!$D$20="No"),'AES Indiana Sep 23 Bill Calc.'!$D$19,-1)</f>
        <v>-1</v>
      </c>
      <c r="C996" s="111">
        <f>MAX(E996,$C$701)</f>
        <v>2000</v>
      </c>
      <c r="D996" s="111" t="b">
        <f>IF(AND('AES Indiana Sep 23 Bill Calc.'!$D$17="HL4",'AES Indiana Sep 23 Bill Calc.'!$D$18="Yes 10%",'AES Indiana Sep 23 Bill Calc.'!$D$20="No"),'AES Indiana Sep 23 Bill Calc.'!$D$22)</f>
        <v>0</v>
      </c>
      <c r="E996" s="111" t="b">
        <f>IF(AND('AES Indiana Sep 23 Bill Calc.'!$D$17="HL4",'AES Indiana Sep 23 Bill Calc.'!$D$18="Yes 10%",'AES Indiana Sep 23 Bill Calc.'!$D$20="No"),'AES Indiana Sep 23 Bill Calc.'!$D$21)</f>
        <v>0</v>
      </c>
      <c r="F996" s="37" t="s">
        <v>188</v>
      </c>
      <c r="G996" s="113" t="e">
        <f>SUM(J996:M996,R996:AA996)</f>
        <v>#N/A</v>
      </c>
      <c r="H996" s="19" t="e">
        <f>IF(ISBLANK(B996),0,+#REF!/B996)</f>
        <v>#REF!</v>
      </c>
      <c r="J996" s="53">
        <f>IF(ISBLANK(B996),0,+J$889)</f>
        <v>492.51</v>
      </c>
      <c r="K996" s="17">
        <f>ROUND($B996*K$985,2)</f>
        <v>-0.05</v>
      </c>
      <c r="L996" s="17">
        <f>IF(ISBLANK($C996),0,IF($C996&lt;$C$890,ROUND($C$890*$L$985,2),IF($C996&gt;L$986,ROUND(L$986*L$985,2),ROUND($C996*L$985,2))))</f>
        <v>29180</v>
      </c>
      <c r="M996" s="17">
        <f>IF($C996&gt;L$797,ROUND(($C996-L$797)*M$796,2),0)</f>
        <v>0</v>
      </c>
      <c r="N996" s="17">
        <f>K996</f>
        <v>-0.05</v>
      </c>
      <c r="O996" s="17"/>
      <c r="P996" s="17"/>
      <c r="Q996" s="17">
        <f>SUM(L996:M996)</f>
        <v>29180</v>
      </c>
      <c r="R996" s="16" t="e">
        <f>ROUND(SUM(K996:M996)*(R995-1),2)</f>
        <v>#N/A</v>
      </c>
      <c r="S996" s="17">
        <f>ROUND($B996*S$889*S995,2)</f>
        <v>0</v>
      </c>
      <c r="T996" s="17">
        <f>ROUND($B996*T$985,2)</f>
        <v>0</v>
      </c>
      <c r="U996" s="17">
        <f>ROUND($B996*U$985,2)</f>
        <v>0</v>
      </c>
      <c r="V996" s="17">
        <f>ROUND($B996*V$889,2)</f>
        <v>-0.01</v>
      </c>
      <c r="W996" s="17">
        <f>ROUND($B996*W$985,2)</f>
        <v>0</v>
      </c>
      <c r="X996" s="17">
        <f>ROUND($B996*X$985,2)</f>
        <v>0</v>
      </c>
      <c r="Y996" s="17">
        <f>ROUND($B996*Y$985,2)</f>
        <v>0</v>
      </c>
      <c r="Z996" s="17">
        <f>ROUND($B996*Z$985,2)</f>
        <v>0</v>
      </c>
      <c r="AA996" s="17">
        <f>ROUND($B996*AA$985,2)</f>
        <v>0</v>
      </c>
      <c r="AB996" s="19">
        <f>SUM(V948:AA948)</f>
        <v>0</v>
      </c>
      <c r="AC996" s="78" t="str">
        <f>+F996</f>
        <v>HL4</v>
      </c>
    </row>
    <row r="997" spans="1:29" ht="13" x14ac:dyDescent="0.3">
      <c r="A997" s="9"/>
      <c r="B997" s="111">
        <v>-1</v>
      </c>
      <c r="D997" s="8"/>
      <c r="E997" s="9"/>
      <c r="F997" s="37"/>
      <c r="G997" s="17"/>
      <c r="H997" s="19"/>
      <c r="J997" s="8"/>
      <c r="K997" s="17"/>
      <c r="L997" s="17"/>
      <c r="M997" s="17"/>
      <c r="N997" s="17"/>
      <c r="O997" s="17"/>
      <c r="P997" s="17"/>
      <c r="Q997" s="17"/>
      <c r="R997" s="39" t="e">
        <f>VLOOKUP((D998),'Pwr Factor'!$A$1:$B$52,2)</f>
        <v>#N/A</v>
      </c>
      <c r="S997" s="51">
        <v>0</v>
      </c>
      <c r="T997" s="17"/>
      <c r="U997" s="17"/>
      <c r="V997" s="17"/>
      <c r="W997" s="17"/>
      <c r="X997" s="17"/>
      <c r="Y997" s="17"/>
      <c r="Z997" s="17"/>
      <c r="AA997" s="17"/>
    </row>
    <row r="998" spans="1:29" ht="13" x14ac:dyDescent="0.3">
      <c r="A998" s="57" t="s">
        <v>172</v>
      </c>
      <c r="B998" s="111">
        <f>IF(AND('AES Indiana Sep 23 Bill Calc.'!$D$17="HL4",'AES Indiana Sep 23 Bill Calc.'!$D$18="No",'AES Indiana Sep 23 Bill Calc.'!$D$20="No"),'AES Indiana Sep 23 Bill Calc.'!$D$19,-1)</f>
        <v>-1</v>
      </c>
      <c r="C998" s="111">
        <f>MAX(E998,$C$701)</f>
        <v>2000</v>
      </c>
      <c r="D998" s="111" t="b">
        <f>IF(AND('AES Indiana Sep 23 Bill Calc.'!$D$17="HL4",'AES Indiana Sep 23 Bill Calc.'!$D$18="No",'AES Indiana Sep 23 Bill Calc.'!$D$20="No"),'AES Indiana Sep 23 Bill Calc.'!$D$22)</f>
        <v>0</v>
      </c>
      <c r="E998" s="111" t="b">
        <f>IF(AND('AES Indiana Sep 23 Bill Calc.'!$D$17="HL4",'AES Indiana Sep 23 Bill Calc.'!$D$18="No",'AES Indiana Sep 23 Bill Calc.'!$D$20="No"),'AES Indiana Sep 23 Bill Calc.'!$D$21)</f>
        <v>0</v>
      </c>
      <c r="F998" s="37" t="s">
        <v>188</v>
      </c>
      <c r="G998" s="113" t="e">
        <f>SUM(J998:M998,R998:AA998)</f>
        <v>#N/A</v>
      </c>
      <c r="H998" s="19" t="e">
        <f>IF(ISBLANK(B998),0,+#REF!/B998)</f>
        <v>#REF!</v>
      </c>
      <c r="J998" s="53">
        <f>IF(ISBLANK(B998),0,+J$889)</f>
        <v>492.51</v>
      </c>
      <c r="K998" s="17">
        <f>ROUND($B998*K$985,2)</f>
        <v>-0.05</v>
      </c>
      <c r="L998" s="17">
        <f>IF(ISBLANK($C998),0,IF($C998&lt;$C$890,ROUND($C$890*$L$985,2),IF($C998&gt;L$986,ROUND(L$986*L$985,2),ROUND($C998*L$985,2))))</f>
        <v>29180</v>
      </c>
      <c r="M998" s="17">
        <f>IF($C998&gt;L$797,ROUND(($C998-L$797)*M$796,2),0)</f>
        <v>0</v>
      </c>
      <c r="N998" s="17">
        <f>K998</f>
        <v>-0.05</v>
      </c>
      <c r="O998" s="17"/>
      <c r="P998" s="17"/>
      <c r="Q998" s="17">
        <f>SUM(L998:M998)</f>
        <v>29180</v>
      </c>
      <c r="R998" s="16" t="e">
        <f>ROUND(SUM(K998:M998)*(R997-1),2)</f>
        <v>#N/A</v>
      </c>
      <c r="S998" s="17">
        <f>ROUND($B998*S$889*S997,2)</f>
        <v>0</v>
      </c>
      <c r="T998" s="17">
        <f>ROUND($B998*T$985,2)</f>
        <v>0</v>
      </c>
      <c r="U998" s="17">
        <f>ROUND($B998*U$985,2)</f>
        <v>0</v>
      </c>
      <c r="V998" s="17">
        <f>ROUND($B998*V$889,2)</f>
        <v>-0.01</v>
      </c>
      <c r="W998" s="17">
        <f>ROUND($B998*W$985,2)</f>
        <v>0</v>
      </c>
      <c r="X998" s="17">
        <f>ROUND($B998*X$985,2)</f>
        <v>0</v>
      </c>
      <c r="Y998" s="17">
        <f>ROUND($B998*Y$985,2)</f>
        <v>0</v>
      </c>
      <c r="Z998" s="17">
        <f>ROUND($B998*Z$985,2)</f>
        <v>0</v>
      </c>
      <c r="AA998" s="17">
        <f>ROUND($B998*AA$985,2)</f>
        <v>0</v>
      </c>
      <c r="AB998" s="19">
        <f>SUM(V950:AA950)</f>
        <v>0</v>
      </c>
      <c r="AC998" s="78" t="str">
        <f>+F998</f>
        <v>HL4</v>
      </c>
    </row>
    <row r="999" spans="1:29" ht="13" x14ac:dyDescent="0.3">
      <c r="B999" s="111">
        <v>-1</v>
      </c>
      <c r="D999" s="8"/>
      <c r="E999" s="9"/>
      <c r="F999" s="37"/>
      <c r="G999" s="17"/>
      <c r="H999" s="19"/>
      <c r="J999" s="8"/>
      <c r="K999" s="17"/>
      <c r="L999" s="17"/>
      <c r="M999" s="17"/>
      <c r="N999" s="17"/>
      <c r="O999" s="17"/>
      <c r="P999" s="17"/>
      <c r="Q999" s="17"/>
      <c r="R999" s="39" t="e">
        <f>VLOOKUP((D1000),'Pwr Factor'!$A$1:$B$52,2)</f>
        <v>#N/A</v>
      </c>
      <c r="S999" s="51">
        <v>1</v>
      </c>
      <c r="T999" s="17"/>
      <c r="U999" s="17"/>
      <c r="V999" s="17"/>
      <c r="W999" s="17"/>
      <c r="X999" s="17"/>
      <c r="Y999" s="17"/>
      <c r="Z999" s="17"/>
      <c r="AA999" s="17"/>
    </row>
    <row r="1000" spans="1:29" ht="13" x14ac:dyDescent="0.3">
      <c r="A1000" s="1" t="s">
        <v>73</v>
      </c>
      <c r="B1000" s="111">
        <f>IF(AND('AES Indiana Sep 23 Bill Calc.'!$D$17="HL4",'AES Indiana Sep 23 Bill Calc.'!$D$18="Yes 100%",'AES Indiana Sep 23 Bill Calc.'!$D$20="Yes Before 2018"),'AES Indiana Sep 23 Bill Calc.'!$D$19,-1)</f>
        <v>-1</v>
      </c>
      <c r="C1000" s="111">
        <f>MAX(E1000,$C$701)</f>
        <v>2000</v>
      </c>
      <c r="D1000" s="111" t="b">
        <f>IF(AND('AES Indiana Sep 23 Bill Calc.'!$D$17="HL4",'AES Indiana Sep 23 Bill Calc.'!$D$18="Yes 100%",'AES Indiana Sep 23 Bill Calc.'!$D$20="Yes Before 2018"),'AES Indiana Sep 23 Bill Calc.'!$D$22)</f>
        <v>0</v>
      </c>
      <c r="E1000" s="111" t="b">
        <f>IF(AND('AES Indiana Sep 23 Bill Calc.'!$D$17="HL4",'AES Indiana Sep 23 Bill Calc.'!$D$18="Yes 100%",'AES Indiana Sep 23 Bill Calc.'!$D$20="Yes Before 2018"),'AES Indiana Sep 23 Bill Calc.'!$D$21)</f>
        <v>0</v>
      </c>
      <c r="F1000" s="37" t="s">
        <v>196</v>
      </c>
      <c r="G1000" s="113" t="e">
        <f>SUM(J1000:M1000,R1000:AA1000)</f>
        <v>#N/A</v>
      </c>
      <c r="H1000" s="19" t="e">
        <f>IF(ISBLANK(B1000),0,+#REF!/B1000)</f>
        <v>#REF!</v>
      </c>
      <c r="J1000" s="53">
        <f>IF(ISBLANK(B1000),0,+J$889)</f>
        <v>492.51</v>
      </c>
      <c r="K1000" s="17">
        <f>ROUND($B1000*K$985,2)</f>
        <v>-0.05</v>
      </c>
      <c r="L1000" s="17">
        <f>IF(ISBLANK($C1000),0,IF($C1000&lt;$C$890,ROUND($C$890*$L$985,2),IF($C1000&gt;L$986,ROUND(L$986*L$985,2),ROUND($C1000*L$985,2))))</f>
        <v>29180</v>
      </c>
      <c r="M1000" s="17">
        <f>IF($C1000&gt;L$797,ROUND(($C1000-L$797)*M$796,2),0)</f>
        <v>0</v>
      </c>
      <c r="N1000" s="17">
        <f>K1000</f>
        <v>-0.05</v>
      </c>
      <c r="O1000" s="17"/>
      <c r="P1000" s="17"/>
      <c r="Q1000" s="17">
        <f>SUM(L1000:M1000)</f>
        <v>29180</v>
      </c>
      <c r="R1000" s="16" t="e">
        <f>ROUND(SUM(K1000:M1000)*(R999-1),2)</f>
        <v>#N/A</v>
      </c>
      <c r="S1000" s="17">
        <f>ROUND($B1000*S$889*S999,2)</f>
        <v>0</v>
      </c>
      <c r="T1000" s="17">
        <f>ROUND($B1000*T$985,2)</f>
        <v>0</v>
      </c>
      <c r="U1000" s="17">
        <f>ROUND($B1000*U$985,2)</f>
        <v>0</v>
      </c>
      <c r="V1000" s="17">
        <f>ROUND($B1000*V$882,2)</f>
        <v>0</v>
      </c>
      <c r="W1000" s="17">
        <f>ROUND($B1000*W$985,2)</f>
        <v>0</v>
      </c>
      <c r="X1000" s="17">
        <f>ROUND($B1000*X$985,2)</f>
        <v>0</v>
      </c>
      <c r="Y1000" s="17">
        <f>ROUND($B1000*Y$985,2)</f>
        <v>0</v>
      </c>
      <c r="Z1000" s="17">
        <f>ROUND($B1000*Z$985,2)</f>
        <v>0</v>
      </c>
      <c r="AA1000" s="17">
        <f>ROUND($B1000*AA$985,2)</f>
        <v>0</v>
      </c>
      <c r="AB1000" s="19">
        <f>SUM(V952:AA952)</f>
        <v>0</v>
      </c>
      <c r="AC1000" s="78" t="str">
        <f>+F1000</f>
        <v>HL47</v>
      </c>
    </row>
    <row r="1001" spans="1:29" ht="13" x14ac:dyDescent="0.3">
      <c r="A1001" s="49"/>
      <c r="B1001" s="111">
        <v>-1</v>
      </c>
      <c r="D1001" s="8"/>
      <c r="E1001" s="9"/>
      <c r="F1001" s="37"/>
      <c r="G1001" s="17"/>
      <c r="H1001" s="19"/>
      <c r="J1001" s="8"/>
      <c r="K1001" s="17"/>
      <c r="L1001" s="17"/>
      <c r="M1001" s="17"/>
      <c r="N1001" s="17"/>
      <c r="O1001" s="17"/>
      <c r="P1001" s="17"/>
      <c r="Q1001" s="17"/>
      <c r="R1001" s="39" t="e">
        <f>VLOOKUP((D1002),'Pwr Factor'!$A$1:$B$52,2)</f>
        <v>#N/A</v>
      </c>
      <c r="S1001" s="51">
        <v>0.5</v>
      </c>
      <c r="T1001" s="17"/>
      <c r="U1001" s="17"/>
      <c r="V1001" s="17"/>
      <c r="W1001" s="17"/>
      <c r="X1001" s="17"/>
      <c r="Y1001" s="17"/>
      <c r="Z1001" s="17"/>
      <c r="AA1001" s="17"/>
    </row>
    <row r="1002" spans="1:29" ht="13" x14ac:dyDescent="0.3">
      <c r="A1002" s="57" t="s">
        <v>171</v>
      </c>
      <c r="B1002" s="111">
        <f>IF(AND('AES Indiana Sep 23 Bill Calc.'!$D$17="HL4",'AES Indiana Sep 23 Bill Calc.'!$D$18="Yes 50%",'AES Indiana Sep 23 Bill Calc.'!$D$20="Yes Before 2018"),'AES Indiana Sep 23 Bill Calc.'!$D$19,-1)</f>
        <v>-1</v>
      </c>
      <c r="C1002" s="111">
        <f>MAX(E1002,$C$701)</f>
        <v>2000</v>
      </c>
      <c r="D1002" s="111" t="b">
        <f>IF(AND('AES Indiana Sep 23 Bill Calc.'!$D$17="HL4",'AES Indiana Sep 23 Bill Calc.'!$D$18="Yes 50%",'AES Indiana Sep 23 Bill Calc.'!$D$20="Yes Before 2018"),'AES Indiana Sep 23 Bill Calc.'!$D$22)</f>
        <v>0</v>
      </c>
      <c r="E1002" s="111" t="b">
        <f>IF(AND('AES Indiana Sep 23 Bill Calc.'!$D$17="HL4",'AES Indiana Sep 23 Bill Calc.'!$D$18="Yes 50%",'AES Indiana Sep 23 Bill Calc.'!$D$20="Yes Before 2018"),'AES Indiana Sep 23 Bill Calc.'!$D$21)</f>
        <v>0</v>
      </c>
      <c r="F1002" s="37" t="s">
        <v>196</v>
      </c>
      <c r="G1002" s="113" t="e">
        <f>SUM(J1002:M1002,R1002:AA1002)</f>
        <v>#N/A</v>
      </c>
      <c r="H1002" s="19" t="e">
        <f>IF(ISBLANK(B1002),0,+#REF!/B1002)</f>
        <v>#REF!</v>
      </c>
      <c r="J1002" s="53">
        <f>IF(ISBLANK(B1002),0,+J$889)</f>
        <v>492.51</v>
      </c>
      <c r="K1002" s="17">
        <f>ROUND($B1002*K$985,2)</f>
        <v>-0.05</v>
      </c>
      <c r="L1002" s="17">
        <f>IF(ISBLANK($C1002),0,IF($C1002&lt;$C$890,ROUND($C$890*$L$985,2),IF($C1002&gt;L$986,ROUND(L$986*L$985,2),ROUND($C1002*L$985,2))))</f>
        <v>29180</v>
      </c>
      <c r="M1002" s="17">
        <f>IF($C1002&gt;L$797,ROUND(($C1002-L$797)*M$796,2),0)</f>
        <v>0</v>
      </c>
      <c r="N1002" s="17">
        <f>K1002</f>
        <v>-0.05</v>
      </c>
      <c r="O1002" s="17"/>
      <c r="P1002" s="17"/>
      <c r="Q1002" s="17">
        <f>SUM(L1002:M1002)</f>
        <v>29180</v>
      </c>
      <c r="R1002" s="16" t="e">
        <f>ROUND(SUM(K1002:M1002)*(R1001-1),2)</f>
        <v>#N/A</v>
      </c>
      <c r="S1002" s="17">
        <f>ROUND($B1002*S$889*S1001,2)</f>
        <v>0</v>
      </c>
      <c r="T1002" s="17">
        <f>ROUND($B1002*T$985,2)</f>
        <v>0</v>
      </c>
      <c r="U1002" s="17">
        <f>ROUND($B1002*U$985,2)</f>
        <v>0</v>
      </c>
      <c r="V1002" s="17">
        <f>ROUND($B1002*V$882,2)</f>
        <v>0</v>
      </c>
      <c r="W1002" s="17">
        <f>ROUND($B1002*W$985,2)</f>
        <v>0</v>
      </c>
      <c r="X1002" s="17">
        <f>ROUND($B1002*X$985,2)</f>
        <v>0</v>
      </c>
      <c r="Y1002" s="17">
        <f>ROUND($B1002*Y$985,2)</f>
        <v>0</v>
      </c>
      <c r="Z1002" s="17">
        <f>ROUND($B1002*Z$985,2)</f>
        <v>0</v>
      </c>
      <c r="AA1002" s="17">
        <f>ROUND($B1002*AA$985,2)</f>
        <v>0</v>
      </c>
      <c r="AB1002" s="19">
        <f>SUM(V954:AA954)</f>
        <v>0</v>
      </c>
      <c r="AC1002" s="78" t="str">
        <f>+F1002</f>
        <v>HL47</v>
      </c>
    </row>
    <row r="1003" spans="1:29" ht="13" x14ac:dyDescent="0.3">
      <c r="A1003" s="9"/>
      <c r="B1003" s="111">
        <v>-1</v>
      </c>
      <c r="D1003" s="8"/>
      <c r="E1003" s="9"/>
      <c r="F1003" s="37"/>
      <c r="G1003" s="17"/>
      <c r="H1003" s="19"/>
      <c r="J1003" s="8"/>
      <c r="K1003" s="17"/>
      <c r="L1003" s="17"/>
      <c r="M1003" s="17"/>
      <c r="N1003" s="17"/>
      <c r="O1003" s="17"/>
      <c r="P1003" s="17"/>
      <c r="Q1003" s="17"/>
      <c r="R1003" s="39" t="e">
        <f>VLOOKUP((D1004),'Pwr Factor'!$A$1:$B$52,2)</f>
        <v>#N/A</v>
      </c>
      <c r="S1003" s="51">
        <v>0.25</v>
      </c>
      <c r="T1003" s="17"/>
      <c r="U1003" s="17"/>
      <c r="V1003" s="17"/>
      <c r="W1003" s="17"/>
      <c r="X1003" s="17"/>
      <c r="Y1003" s="17"/>
      <c r="Z1003" s="17"/>
      <c r="AA1003" s="17"/>
    </row>
    <row r="1004" spans="1:29" ht="13" x14ac:dyDescent="0.3">
      <c r="A1004" s="57" t="s">
        <v>158</v>
      </c>
      <c r="B1004" s="111">
        <f>IF(AND('AES Indiana Sep 23 Bill Calc.'!$D$17="HL4",'AES Indiana Sep 23 Bill Calc.'!$D$18="Yes 25%",'AES Indiana Sep 23 Bill Calc.'!$D$20="Yes Before 2018"),'AES Indiana Sep 23 Bill Calc.'!$D$19,-1)</f>
        <v>-1</v>
      </c>
      <c r="C1004" s="111">
        <f>MAX(E1004,$C$701)</f>
        <v>2000</v>
      </c>
      <c r="D1004" s="111" t="b">
        <f>IF(AND('AES Indiana Sep 23 Bill Calc.'!$D$17="HL4",'AES Indiana Sep 23 Bill Calc.'!$D$18="Yes 25%",'AES Indiana Sep 23 Bill Calc.'!$D$20="Yes Before 2018"),'AES Indiana Sep 23 Bill Calc.'!$D$22)</f>
        <v>0</v>
      </c>
      <c r="E1004" s="111" t="b">
        <f>IF(AND('AES Indiana Sep 23 Bill Calc.'!$D$17="HL4",'AES Indiana Sep 23 Bill Calc.'!$D$18="Yes 25%",'AES Indiana Sep 23 Bill Calc.'!$D$20="Yes Before 2018"),'AES Indiana Sep 23 Bill Calc.'!$D$21)</f>
        <v>0</v>
      </c>
      <c r="F1004" s="37" t="s">
        <v>196</v>
      </c>
      <c r="G1004" s="113" t="e">
        <f>SUM(J1004:M1004,R1004:AA1004)</f>
        <v>#N/A</v>
      </c>
      <c r="H1004" s="19" t="e">
        <f>IF(ISBLANK(B1004),0,+#REF!/B1004)</f>
        <v>#REF!</v>
      </c>
      <c r="J1004" s="53">
        <f>IF(ISBLANK(B1004),0,+J$889)</f>
        <v>492.51</v>
      </c>
      <c r="K1004" s="17">
        <f>ROUND($B1004*K$985,2)</f>
        <v>-0.05</v>
      </c>
      <c r="L1004" s="17">
        <f>IF(ISBLANK($C1004),0,IF($C1004&lt;$C$890,ROUND($C$890*$L$985,2),IF($C1004&gt;L$986,ROUND(L$986*L$985,2),ROUND($C1004*L$985,2))))</f>
        <v>29180</v>
      </c>
      <c r="M1004" s="17">
        <f>IF($C1004&gt;L$797,ROUND(($C1004-L$797)*M$796,2),0)</f>
        <v>0</v>
      </c>
      <c r="N1004" s="17">
        <f>K1004</f>
        <v>-0.05</v>
      </c>
      <c r="O1004" s="17"/>
      <c r="P1004" s="17"/>
      <c r="Q1004" s="17">
        <f>SUM(L1004:M1004)</f>
        <v>29180</v>
      </c>
      <c r="R1004" s="16" t="e">
        <f>ROUND(SUM(K1004:M1004)*(R1003-1),2)</f>
        <v>#N/A</v>
      </c>
      <c r="S1004" s="17">
        <f>ROUND($B1004*S$889*S1003,2)</f>
        <v>0</v>
      </c>
      <c r="T1004" s="17">
        <f>ROUND($B1004*T$985,2)</f>
        <v>0</v>
      </c>
      <c r="U1004" s="17">
        <f>ROUND($B1004*U$985,2)</f>
        <v>0</v>
      </c>
      <c r="V1004" s="17">
        <f>ROUND($B1004*V$882,2)</f>
        <v>0</v>
      </c>
      <c r="W1004" s="17">
        <f>ROUND($B1004*W$985,2)</f>
        <v>0</v>
      </c>
      <c r="X1004" s="17">
        <f>ROUND($B1004*X$985,2)</f>
        <v>0</v>
      </c>
      <c r="Y1004" s="17">
        <f>ROUND($B1004*Y$985,2)</f>
        <v>0</v>
      </c>
      <c r="Z1004" s="17">
        <f>ROUND($B1004*Z$985,2)</f>
        <v>0</v>
      </c>
      <c r="AA1004" s="17">
        <f>ROUND($B1004*AA$985,2)</f>
        <v>0</v>
      </c>
      <c r="AB1004" s="19">
        <f>SUM(V956:AA956)</f>
        <v>0</v>
      </c>
      <c r="AC1004" s="78" t="str">
        <f>+F1004</f>
        <v>HL47</v>
      </c>
    </row>
    <row r="1005" spans="1:29" ht="13" x14ac:dyDescent="0.3">
      <c r="A1005" s="9"/>
      <c r="B1005" s="111">
        <v>-1</v>
      </c>
      <c r="D1005" s="8"/>
      <c r="E1005" s="9"/>
      <c r="F1005" s="37"/>
      <c r="G1005" s="17"/>
      <c r="H1005" s="19"/>
      <c r="J1005" s="8"/>
      <c r="K1005" s="17"/>
      <c r="L1005" s="17"/>
      <c r="M1005" s="17"/>
      <c r="N1005" s="17"/>
      <c r="O1005" s="17"/>
      <c r="P1005" s="17"/>
      <c r="Q1005" s="17"/>
      <c r="R1005" s="39" t="e">
        <f>VLOOKUP((D1006),'Pwr Factor'!$A$1:$B$52,2)</f>
        <v>#N/A</v>
      </c>
      <c r="S1005" s="51">
        <v>0.1</v>
      </c>
      <c r="T1005" s="17"/>
      <c r="U1005" s="17"/>
      <c r="V1005" s="17"/>
      <c r="W1005" s="17"/>
      <c r="X1005" s="17"/>
      <c r="Y1005" s="17"/>
      <c r="Z1005" s="17"/>
      <c r="AA1005" s="17"/>
    </row>
    <row r="1006" spans="1:29" ht="13" x14ac:dyDescent="0.3">
      <c r="A1006" s="57" t="s">
        <v>173</v>
      </c>
      <c r="B1006" s="111">
        <f>IF(AND('AES Indiana Sep 23 Bill Calc.'!$D$17="HL4",'AES Indiana Sep 23 Bill Calc.'!$D$18="Yes 10%",'AES Indiana Sep 23 Bill Calc.'!$D$20="Yes Before 2018"),'AES Indiana Sep 23 Bill Calc.'!$D$19,-1)</f>
        <v>-1</v>
      </c>
      <c r="C1006" s="111">
        <f>MAX(E1006,$C$701)</f>
        <v>2000</v>
      </c>
      <c r="D1006" s="111" t="b">
        <f>IF(AND('AES Indiana Sep 23 Bill Calc.'!$D$17="HL4",'AES Indiana Sep 23 Bill Calc.'!$D$18="Yes 10%",'AES Indiana Sep 23 Bill Calc.'!$D$20="Yes Before 2018"),'AES Indiana Sep 23 Bill Calc.'!$D$22)</f>
        <v>0</v>
      </c>
      <c r="E1006" s="111" t="b">
        <f>IF(AND('AES Indiana Sep 23 Bill Calc.'!$D$17="HL4",'AES Indiana Sep 23 Bill Calc.'!$D$18="Yes 10%",'AES Indiana Sep 23 Bill Calc.'!$D$20="Yes Before 2018"),'AES Indiana Sep 23 Bill Calc.'!$D$21)</f>
        <v>0</v>
      </c>
      <c r="F1006" s="37" t="s">
        <v>196</v>
      </c>
      <c r="G1006" s="113" t="e">
        <f>SUM(J1006:M1006,R1006:AA1006)</f>
        <v>#N/A</v>
      </c>
      <c r="H1006" s="19" t="e">
        <f>IF(ISBLANK(B1006),0,+#REF!/B1006)</f>
        <v>#REF!</v>
      </c>
      <c r="J1006" s="53">
        <f>IF(ISBLANK(B1006),0,+J$889)</f>
        <v>492.51</v>
      </c>
      <c r="K1006" s="17">
        <f>ROUND($B1006*K$985,2)</f>
        <v>-0.05</v>
      </c>
      <c r="L1006" s="17">
        <f>IF(ISBLANK($C1006),0,IF($C1006&lt;$C$890,ROUND($C$890*$L$985,2),IF($C1006&gt;L$986,ROUND(L$986*L$985,2),ROUND($C1006*L$985,2))))</f>
        <v>29180</v>
      </c>
      <c r="M1006" s="17">
        <f>IF($C1006&gt;L$797,ROUND(($C1006-L$797)*M$796,2),0)</f>
        <v>0</v>
      </c>
      <c r="N1006" s="17">
        <f>K1006</f>
        <v>-0.05</v>
      </c>
      <c r="O1006" s="17"/>
      <c r="P1006" s="17"/>
      <c r="Q1006" s="17">
        <f>SUM(L1006:M1006)</f>
        <v>29180</v>
      </c>
      <c r="R1006" s="16" t="e">
        <f>ROUND(SUM(K1006:M1006)*(R1005-1),2)</f>
        <v>#N/A</v>
      </c>
      <c r="S1006" s="17">
        <f>ROUND($B1006*S$889*S1005,2)</f>
        <v>0</v>
      </c>
      <c r="T1006" s="17">
        <f>ROUND($B1006*T$985,2)</f>
        <v>0</v>
      </c>
      <c r="U1006" s="17">
        <f>ROUND($B1006*U$985,2)</f>
        <v>0</v>
      </c>
      <c r="V1006" s="17">
        <f>ROUND($B1006*V$882,2)</f>
        <v>0</v>
      </c>
      <c r="W1006" s="17">
        <f>ROUND($B1006*W$985,2)</f>
        <v>0</v>
      </c>
      <c r="X1006" s="17">
        <f>ROUND($B1006*X$985,2)</f>
        <v>0</v>
      </c>
      <c r="Y1006" s="17">
        <f>ROUND($B1006*Y$985,2)</f>
        <v>0</v>
      </c>
      <c r="Z1006" s="17">
        <f>ROUND($B1006*Z$985,2)</f>
        <v>0</v>
      </c>
      <c r="AA1006" s="17">
        <f>ROUND($B1006*AA$985,2)</f>
        <v>0</v>
      </c>
      <c r="AB1006" s="19">
        <f>SUM(V958:AA958)</f>
        <v>0</v>
      </c>
      <c r="AC1006" s="78" t="str">
        <f>+F1006</f>
        <v>HL47</v>
      </c>
    </row>
    <row r="1007" spans="1:29" ht="13" x14ac:dyDescent="0.3">
      <c r="A1007" s="9"/>
      <c r="B1007" s="111">
        <v>-1</v>
      </c>
      <c r="D1007" s="8"/>
      <c r="E1007" s="9"/>
      <c r="F1007" s="37"/>
      <c r="G1007" s="17"/>
      <c r="H1007" s="19"/>
      <c r="J1007" s="8"/>
      <c r="K1007" s="17"/>
      <c r="L1007" s="17"/>
      <c r="M1007" s="17"/>
      <c r="N1007" s="17"/>
      <c r="O1007" s="17"/>
      <c r="P1007" s="17"/>
      <c r="Q1007" s="17"/>
      <c r="R1007" s="39" t="e">
        <f>VLOOKUP((D1008),'Pwr Factor'!$A$1:$B$52,2)</f>
        <v>#N/A</v>
      </c>
      <c r="S1007" s="51">
        <v>0</v>
      </c>
      <c r="T1007" s="17"/>
      <c r="U1007" s="17"/>
      <c r="V1007" s="17"/>
      <c r="W1007" s="17"/>
      <c r="X1007" s="17"/>
      <c r="Y1007" s="17"/>
      <c r="Z1007" s="17"/>
      <c r="AA1007" s="17"/>
    </row>
    <row r="1008" spans="1:29" ht="13" x14ac:dyDescent="0.3">
      <c r="A1008" s="57" t="s">
        <v>172</v>
      </c>
      <c r="B1008" s="111">
        <f>IF(AND('AES Indiana Sep 23 Bill Calc.'!$D$17="HL4",'AES Indiana Sep 23 Bill Calc.'!$D$18="No",'AES Indiana Sep 23 Bill Calc.'!$D$20="Yes Before 2018"),'AES Indiana Sep 23 Bill Calc.'!$D$19,-1)</f>
        <v>-1</v>
      </c>
      <c r="C1008" s="111">
        <f>MAX(E1008,$C$701)</f>
        <v>2000</v>
      </c>
      <c r="D1008" s="111" t="b">
        <f>IF(AND('AES Indiana Sep 23 Bill Calc.'!$D$17="HL4",'AES Indiana Sep 23 Bill Calc.'!$D$18="No",'AES Indiana Sep 23 Bill Calc.'!$D$20="Yes Before 2018"),'AES Indiana Sep 23 Bill Calc.'!$D$22)</f>
        <v>0</v>
      </c>
      <c r="E1008" s="111" t="b">
        <f>IF(AND('AES Indiana Sep 23 Bill Calc.'!$D$17="HL4",'AES Indiana Sep 23 Bill Calc.'!$D$18="No",'AES Indiana Sep 23 Bill Calc.'!$D$20="Yes Before 2018"),'AES Indiana Sep 23 Bill Calc.'!$D$21)</f>
        <v>0</v>
      </c>
      <c r="F1008" s="37" t="s">
        <v>196</v>
      </c>
      <c r="G1008" s="113" t="e">
        <f>SUM(J1008:M1008,R1008:AA1008)</f>
        <v>#N/A</v>
      </c>
      <c r="H1008" s="19" t="e">
        <f>IF(ISBLANK(B1008),0,+#REF!/B1008)</f>
        <v>#REF!</v>
      </c>
      <c r="J1008" s="53">
        <f>IF(ISBLANK(B1008),0,+J$889)</f>
        <v>492.51</v>
      </c>
      <c r="K1008" s="17">
        <f>ROUND($B1008*K$985,2)</f>
        <v>-0.05</v>
      </c>
      <c r="L1008" s="17">
        <f>IF(ISBLANK($C1008),0,IF($C1008&lt;$C$890,ROUND($C$890*$L$985,2),IF($C1008&gt;L$986,ROUND(L$986*L$985,2),ROUND($C1008*L$985,2))))</f>
        <v>29180</v>
      </c>
      <c r="M1008" s="17">
        <f>IF($C1008&gt;L$797,ROUND(($C1008-L$797)*M$796,2),0)</f>
        <v>0</v>
      </c>
      <c r="N1008" s="17">
        <f>K1008</f>
        <v>-0.05</v>
      </c>
      <c r="O1008" s="17"/>
      <c r="P1008" s="17"/>
      <c r="Q1008" s="17">
        <f>SUM(L1008:M1008)</f>
        <v>29180</v>
      </c>
      <c r="R1008" s="16" t="e">
        <f>ROUND(SUM(K1008:M1008)*(R1007-1),2)</f>
        <v>#N/A</v>
      </c>
      <c r="S1008" s="17">
        <f>ROUND($B1008*S$889*S1007,2)</f>
        <v>0</v>
      </c>
      <c r="T1008" s="17">
        <f>ROUND($B1008*T$985,2)</f>
        <v>0</v>
      </c>
      <c r="U1008" s="17">
        <f>ROUND($B1008*U$985,2)</f>
        <v>0</v>
      </c>
      <c r="V1008" s="17">
        <f>ROUND($B1008*V$882,2)</f>
        <v>0</v>
      </c>
      <c r="W1008" s="17">
        <f>ROUND($B1008*W$985,2)</f>
        <v>0</v>
      </c>
      <c r="X1008" s="17">
        <f>ROUND($B1008*X$985,2)</f>
        <v>0</v>
      </c>
      <c r="Y1008" s="17">
        <f>ROUND($B1008*Y$985,2)</f>
        <v>0</v>
      </c>
      <c r="Z1008" s="17">
        <f>ROUND($B1008*Z$985,2)</f>
        <v>0</v>
      </c>
      <c r="AA1008" s="17">
        <f>ROUND($B1008*AA$985,2)</f>
        <v>0</v>
      </c>
      <c r="AB1008" s="19">
        <f>SUM(V960:AA960)</f>
        <v>0</v>
      </c>
      <c r="AC1008" s="78" t="str">
        <f>+F1008</f>
        <v>HL47</v>
      </c>
    </row>
    <row r="1009" spans="1:29" ht="13" x14ac:dyDescent="0.3">
      <c r="B1009" s="111">
        <v>-1</v>
      </c>
      <c r="D1009" s="8"/>
      <c r="E1009" s="9"/>
      <c r="F1009" s="37"/>
      <c r="G1009" s="17"/>
      <c r="H1009" s="19"/>
      <c r="J1009" s="8"/>
      <c r="K1009" s="17"/>
      <c r="L1009" s="17"/>
      <c r="M1009" s="17"/>
      <c r="N1009" s="17"/>
      <c r="O1009" s="17"/>
      <c r="P1009" s="17"/>
      <c r="Q1009" s="17"/>
      <c r="R1009" s="39" t="e">
        <f>VLOOKUP((D1010),'Pwr Factor'!$A$1:$B$52,2)</f>
        <v>#N/A</v>
      </c>
      <c r="S1009" s="51">
        <v>1</v>
      </c>
      <c r="T1009" s="17"/>
      <c r="U1009" s="17"/>
      <c r="V1009" s="17"/>
      <c r="W1009" s="17"/>
      <c r="X1009" s="17"/>
      <c r="Y1009" s="17"/>
      <c r="Z1009" s="17"/>
      <c r="AA1009" s="17"/>
    </row>
    <row r="1010" spans="1:29" ht="13" x14ac:dyDescent="0.3">
      <c r="A1010" s="1" t="s">
        <v>73</v>
      </c>
      <c r="B1010" s="111">
        <f>IF(AND('AES Indiana Sep 23 Bill Calc.'!$D$17="HL4",'AES Indiana Sep 23 Bill Calc.'!$D$18="Yes 100%",'AES Indiana Sep 23 Bill Calc.'!$D$20="Yes 2018"),'AES Indiana Sep 23 Bill Calc.'!$D$19,-1)</f>
        <v>-1</v>
      </c>
      <c r="C1010" s="111">
        <f>MAX(E1010,$C$701)</f>
        <v>2000</v>
      </c>
      <c r="D1010" s="111" t="b">
        <f>IF(AND('AES Indiana Sep 23 Bill Calc.'!$D$17="HL4",'AES Indiana Sep 23 Bill Calc.'!$D$18="Yes 100%",'AES Indiana Sep 23 Bill Calc.'!$D$20="Yes 2018"),'AES Indiana Sep 23 Bill Calc.'!$D$22)</f>
        <v>0</v>
      </c>
      <c r="E1010" s="111" t="b">
        <f>IF(AND('AES Indiana Sep 23 Bill Calc.'!$D$17="HL4",'AES Indiana Sep 23 Bill Calc.'!$D$18="Yes 100%",'AES Indiana Sep 23 Bill Calc.'!$D$20="Yes 2018"),'AES Indiana Sep 23 Bill Calc.'!$D$21)</f>
        <v>0</v>
      </c>
      <c r="F1010" s="37" t="s">
        <v>159</v>
      </c>
      <c r="G1010" s="113" t="e">
        <f>SUM(J1010:M1010,R1010:AA1010)</f>
        <v>#N/A</v>
      </c>
      <c r="H1010" s="19" t="e">
        <f>IF(ISBLANK(B1010),0,+#REF!/B1010)</f>
        <v>#REF!</v>
      </c>
      <c r="J1010" s="53">
        <f>IF(ISBLANK(B1010),0,+J$889)</f>
        <v>492.51</v>
      </c>
      <c r="K1010" s="17">
        <f>ROUND($B1010*K$985,2)</f>
        <v>-0.05</v>
      </c>
      <c r="L1010" s="17">
        <f>IF(ISBLANK($C1010),0,IF($C1010&lt;$C$890,ROUND($C$890*$L$985,2),IF($C1010&gt;L$986,ROUND(L$986*L$985,2),ROUND($C1010*L$985,2))))</f>
        <v>29180</v>
      </c>
      <c r="M1010" s="17">
        <f>IF($C1010&gt;L$797,ROUND(($C1010-L$797)*M$796,2),0)</f>
        <v>0</v>
      </c>
      <c r="N1010" s="17">
        <f>K1010</f>
        <v>-0.05</v>
      </c>
      <c r="O1010" s="17"/>
      <c r="P1010" s="17"/>
      <c r="Q1010" s="17">
        <f>SUM(L1010:M1010)</f>
        <v>29180</v>
      </c>
      <c r="R1010" s="16" t="e">
        <f>ROUND(SUM(K1010:M1010)*(R1009-1),2)</f>
        <v>#N/A</v>
      </c>
      <c r="S1010" s="17">
        <f>ROUND($B1010*S$889*S1009,2)</f>
        <v>0</v>
      </c>
      <c r="T1010" s="17">
        <f>ROUND($B1010*T$985,2)</f>
        <v>0</v>
      </c>
      <c r="U1010" s="17">
        <f>ROUND($B1010*U$985,2)</f>
        <v>0</v>
      </c>
      <c r="V1010" s="17">
        <f>ROUND($B1010*V$883,2)</f>
        <v>0</v>
      </c>
      <c r="W1010" s="17">
        <f>ROUND($B1010*W$985,2)</f>
        <v>0</v>
      </c>
      <c r="X1010" s="17">
        <f>ROUND($B1010*X$985,2)</f>
        <v>0</v>
      </c>
      <c r="Y1010" s="17">
        <f>ROUND($B1010*Y$985,2)</f>
        <v>0</v>
      </c>
      <c r="Z1010" s="17">
        <f>ROUND($B1010*Z$985,2)</f>
        <v>0</v>
      </c>
      <c r="AA1010" s="17">
        <f>ROUND($B1010*AA$985,2)</f>
        <v>0</v>
      </c>
      <c r="AB1010" s="19">
        <f>SUM(V962:AA962)</f>
        <v>0</v>
      </c>
      <c r="AC1010" s="78" t="str">
        <f>+F1010</f>
        <v>HL48</v>
      </c>
    </row>
    <row r="1011" spans="1:29" ht="13" x14ac:dyDescent="0.3">
      <c r="A1011" s="49"/>
      <c r="B1011" s="111">
        <v>-1</v>
      </c>
      <c r="D1011" s="8"/>
      <c r="E1011" s="9"/>
      <c r="F1011" s="37"/>
      <c r="G1011" s="17"/>
      <c r="H1011" s="19"/>
      <c r="J1011" s="8"/>
      <c r="K1011" s="17"/>
      <c r="L1011" s="17"/>
      <c r="M1011" s="17"/>
      <c r="N1011" s="17"/>
      <c r="O1011" s="17"/>
      <c r="P1011" s="17"/>
      <c r="Q1011" s="17"/>
      <c r="R1011" s="39" t="e">
        <f>VLOOKUP((D1012),'Pwr Factor'!$A$1:$B$52,2)</f>
        <v>#N/A</v>
      </c>
      <c r="S1011" s="51">
        <v>0.5</v>
      </c>
      <c r="T1011" s="17"/>
      <c r="U1011" s="17"/>
      <c r="V1011" s="17"/>
      <c r="W1011" s="17"/>
      <c r="X1011" s="17"/>
      <c r="Y1011" s="17"/>
      <c r="Z1011" s="17"/>
      <c r="AA1011" s="17"/>
    </row>
    <row r="1012" spans="1:29" ht="13" x14ac:dyDescent="0.3">
      <c r="A1012" s="57" t="s">
        <v>171</v>
      </c>
      <c r="B1012" s="111">
        <f>IF(AND('AES Indiana Sep 23 Bill Calc.'!$D$17="HL4",'AES Indiana Sep 23 Bill Calc.'!$D$18="Yes 50%",'AES Indiana Sep 23 Bill Calc.'!$D$20="Yes 2018"),'AES Indiana Sep 23 Bill Calc.'!$D$19,-1)</f>
        <v>-1</v>
      </c>
      <c r="C1012" s="111">
        <f>MAX(E1012,$C$701)</f>
        <v>2000</v>
      </c>
      <c r="D1012" s="111" t="b">
        <f>IF(AND('AES Indiana Sep 23 Bill Calc.'!$D$17="HL4",'AES Indiana Sep 23 Bill Calc.'!$D$18="Yes 50%",'AES Indiana Sep 23 Bill Calc.'!$D$20="Yes 2018"),'AES Indiana Sep 23 Bill Calc.'!$D$22)</f>
        <v>0</v>
      </c>
      <c r="E1012" s="111" t="b">
        <f>IF(AND('AES Indiana Sep 23 Bill Calc.'!$D$17="HL4",'AES Indiana Sep 23 Bill Calc.'!$D$18="Yes 50%",'AES Indiana Sep 23 Bill Calc.'!$D$20="Yes 2018"),'AES Indiana Sep 23 Bill Calc.'!$D$21)</f>
        <v>0</v>
      </c>
      <c r="F1012" s="37" t="s">
        <v>159</v>
      </c>
      <c r="G1012" s="113" t="e">
        <f>SUM(J1012:M1012,R1012:AA1012)</f>
        <v>#N/A</v>
      </c>
      <c r="H1012" s="19" t="e">
        <f>IF(ISBLANK(B1012),0,+#REF!/B1012)</f>
        <v>#REF!</v>
      </c>
      <c r="J1012" s="53">
        <f>IF(ISBLANK(B1012),0,+J$889)</f>
        <v>492.51</v>
      </c>
      <c r="K1012" s="17">
        <f>ROUND($B1012*K$985,2)</f>
        <v>-0.05</v>
      </c>
      <c r="L1012" s="17">
        <f>IF(ISBLANK($C1012),0,IF($C1012&lt;$C$890,ROUND($C$890*$L$985,2),IF($C1012&gt;L$986,ROUND(L$986*L$985,2),ROUND($C1012*L$985,2))))</f>
        <v>29180</v>
      </c>
      <c r="M1012" s="17">
        <f>IF($C1012&gt;L$797,ROUND(($C1012-L$797)*M$796,2),0)</f>
        <v>0</v>
      </c>
      <c r="N1012" s="17">
        <f>K1012</f>
        <v>-0.05</v>
      </c>
      <c r="O1012" s="17"/>
      <c r="P1012" s="17"/>
      <c r="Q1012" s="17">
        <f>SUM(L1012:M1012)</f>
        <v>29180</v>
      </c>
      <c r="R1012" s="16" t="e">
        <f>ROUND(SUM(K1012:M1012)*(R1011-1),2)</f>
        <v>#N/A</v>
      </c>
      <c r="S1012" s="17">
        <f>ROUND($B1012*S$889*S1011,2)</f>
        <v>0</v>
      </c>
      <c r="T1012" s="17">
        <f>ROUND($B1012*T$985,2)</f>
        <v>0</v>
      </c>
      <c r="U1012" s="17">
        <f>ROUND($B1012*U$985,2)</f>
        <v>0</v>
      </c>
      <c r="V1012" s="17">
        <f>ROUND($B1012*V$883,2)</f>
        <v>0</v>
      </c>
      <c r="W1012" s="17">
        <f>ROUND($B1012*W$985,2)</f>
        <v>0</v>
      </c>
      <c r="X1012" s="17">
        <f>ROUND($B1012*X$985,2)</f>
        <v>0</v>
      </c>
      <c r="Y1012" s="17">
        <f>ROUND($B1012*Y$985,2)</f>
        <v>0</v>
      </c>
      <c r="Z1012" s="17">
        <f>ROUND($B1012*Z$985,2)</f>
        <v>0</v>
      </c>
      <c r="AA1012" s="17">
        <f>ROUND($B1012*AA$985,2)</f>
        <v>0</v>
      </c>
      <c r="AB1012" s="19">
        <f>SUM(V964:AA964)</f>
        <v>0</v>
      </c>
      <c r="AC1012" s="78" t="str">
        <f>+F1012</f>
        <v>HL48</v>
      </c>
    </row>
    <row r="1013" spans="1:29" ht="13" x14ac:dyDescent="0.3">
      <c r="A1013" s="9"/>
      <c r="B1013" s="111">
        <v>-1</v>
      </c>
      <c r="D1013" s="8"/>
      <c r="E1013" s="9"/>
      <c r="F1013" s="37"/>
      <c r="G1013" s="17"/>
      <c r="H1013" s="19"/>
      <c r="J1013" s="8"/>
      <c r="K1013" s="17"/>
      <c r="L1013" s="17"/>
      <c r="M1013" s="17"/>
      <c r="N1013" s="17"/>
      <c r="O1013" s="17"/>
      <c r="P1013" s="17"/>
      <c r="Q1013" s="17"/>
      <c r="R1013" s="39" t="e">
        <f>VLOOKUP((D1014),'Pwr Factor'!$A$1:$B$52,2)</f>
        <v>#N/A</v>
      </c>
      <c r="S1013" s="51">
        <v>0.25</v>
      </c>
      <c r="T1013" s="17"/>
      <c r="U1013" s="17"/>
      <c r="V1013" s="17"/>
      <c r="W1013" s="17"/>
      <c r="X1013" s="17"/>
      <c r="Y1013" s="17"/>
      <c r="Z1013" s="17"/>
      <c r="AA1013" s="17"/>
    </row>
    <row r="1014" spans="1:29" ht="13" x14ac:dyDescent="0.3">
      <c r="A1014" s="57" t="s">
        <v>158</v>
      </c>
      <c r="B1014" s="111">
        <f>IF(AND('AES Indiana Sep 23 Bill Calc.'!$D$17="HL4",'AES Indiana Sep 23 Bill Calc.'!$D$18="Yes 25%",'AES Indiana Sep 23 Bill Calc.'!$D$20="Yes 2018"),'AES Indiana Sep 23 Bill Calc.'!$D$19,-1)</f>
        <v>-1</v>
      </c>
      <c r="C1014" s="111">
        <f>MAX(E1014,$C$701)</f>
        <v>2000</v>
      </c>
      <c r="D1014" s="111" t="b">
        <f>IF(AND('AES Indiana Sep 23 Bill Calc.'!$D$17="HL4",'AES Indiana Sep 23 Bill Calc.'!$D$18="Yes 25%",'AES Indiana Sep 23 Bill Calc.'!$D$20="Yes 2018"),'AES Indiana Sep 23 Bill Calc.'!$D$22)</f>
        <v>0</v>
      </c>
      <c r="E1014" s="111" t="b">
        <f>IF(AND('AES Indiana Sep 23 Bill Calc.'!$D$17="HL4",'AES Indiana Sep 23 Bill Calc.'!$D$18="Yes 25%",'AES Indiana Sep 23 Bill Calc.'!$D$20="Yes 2018"),'AES Indiana Sep 23 Bill Calc.'!$D$21)</f>
        <v>0</v>
      </c>
      <c r="F1014" s="37" t="s">
        <v>159</v>
      </c>
      <c r="G1014" s="113" t="e">
        <f>SUM(J1014:M1014,R1014:AA1014)</f>
        <v>#N/A</v>
      </c>
      <c r="H1014" s="19" t="e">
        <f>IF(ISBLANK(B1014),0,+#REF!/B1014)</f>
        <v>#REF!</v>
      </c>
      <c r="J1014" s="53">
        <f>IF(ISBLANK(B1014),0,+J$889)</f>
        <v>492.51</v>
      </c>
      <c r="K1014" s="17">
        <f>ROUND($B1014*K$985,2)</f>
        <v>-0.05</v>
      </c>
      <c r="L1014" s="17">
        <f>IF(ISBLANK($C1014),0,IF($C1014&lt;$C$890,ROUND($C$890*$L$985,2),IF($C1014&gt;L$986,ROUND(L$986*L$985,2),ROUND($C1014*L$985,2))))</f>
        <v>29180</v>
      </c>
      <c r="M1014" s="17">
        <f>IF($C1014&gt;L$797,ROUND(($C1014-L$797)*M$796,2),0)</f>
        <v>0</v>
      </c>
      <c r="N1014" s="17">
        <f>K1014</f>
        <v>-0.05</v>
      </c>
      <c r="O1014" s="17"/>
      <c r="P1014" s="17"/>
      <c r="Q1014" s="17">
        <f>SUM(L1014:M1014)</f>
        <v>29180</v>
      </c>
      <c r="R1014" s="16" t="e">
        <f>ROUND(SUM(K1014:M1014)*(R1013-1),2)</f>
        <v>#N/A</v>
      </c>
      <c r="S1014" s="17">
        <f>ROUND($B1014*S$889*S1013,2)</f>
        <v>0</v>
      </c>
      <c r="T1014" s="17">
        <f>ROUND($B1014*T$985,2)</f>
        <v>0</v>
      </c>
      <c r="U1014" s="17">
        <f>ROUND($B1014*U$985,2)</f>
        <v>0</v>
      </c>
      <c r="V1014" s="17">
        <f>ROUND($B1014*V$883,2)</f>
        <v>0</v>
      </c>
      <c r="W1014" s="17">
        <f>ROUND($B1014*W$985,2)</f>
        <v>0</v>
      </c>
      <c r="X1014" s="17">
        <f>ROUND($B1014*X$985,2)</f>
        <v>0</v>
      </c>
      <c r="Y1014" s="17">
        <f>ROUND($B1014*Y$985,2)</f>
        <v>0</v>
      </c>
      <c r="Z1014" s="17">
        <f>ROUND($B1014*Z$985,2)</f>
        <v>0</v>
      </c>
      <c r="AA1014" s="17">
        <f>ROUND($B1014*AA$985,2)</f>
        <v>0</v>
      </c>
      <c r="AB1014" s="19">
        <f>SUM(V966:AA966)</f>
        <v>0</v>
      </c>
      <c r="AC1014" s="78" t="str">
        <f>+F1014</f>
        <v>HL48</v>
      </c>
    </row>
    <row r="1015" spans="1:29" ht="13" x14ac:dyDescent="0.3">
      <c r="A1015" s="9"/>
      <c r="B1015" s="111">
        <v>-1</v>
      </c>
      <c r="D1015" s="8"/>
      <c r="E1015" s="9"/>
      <c r="F1015" s="37"/>
      <c r="G1015" s="17"/>
      <c r="H1015" s="19"/>
      <c r="J1015" s="8"/>
      <c r="K1015" s="17"/>
      <c r="L1015" s="17"/>
      <c r="M1015" s="17"/>
      <c r="N1015" s="17"/>
      <c r="O1015" s="17"/>
      <c r="P1015" s="17"/>
      <c r="Q1015" s="17"/>
      <c r="R1015" s="39" t="e">
        <f>VLOOKUP((D1016),'Pwr Factor'!$A$1:$B$52,2)</f>
        <v>#N/A</v>
      </c>
      <c r="S1015" s="51">
        <v>0.1</v>
      </c>
      <c r="T1015" s="17"/>
      <c r="U1015" s="17"/>
      <c r="V1015" s="17"/>
      <c r="W1015" s="17"/>
      <c r="X1015" s="17"/>
      <c r="Y1015" s="17"/>
      <c r="Z1015" s="17"/>
      <c r="AA1015" s="17"/>
    </row>
    <row r="1016" spans="1:29" ht="13" x14ac:dyDescent="0.3">
      <c r="A1016" s="57" t="s">
        <v>173</v>
      </c>
      <c r="B1016" s="111">
        <f>IF(AND('AES Indiana Sep 23 Bill Calc.'!$D$17="HL4",'AES Indiana Sep 23 Bill Calc.'!$D$18="Yes 10%",'AES Indiana Sep 23 Bill Calc.'!$D$20="Yes 2018"),'AES Indiana Sep 23 Bill Calc.'!$D$19,-1)</f>
        <v>-1</v>
      </c>
      <c r="C1016" s="111">
        <f>MAX(E1016,$C$701)</f>
        <v>2000</v>
      </c>
      <c r="D1016" s="111" t="b">
        <f>IF(AND('AES Indiana Sep 23 Bill Calc.'!$D$17="HL4",'AES Indiana Sep 23 Bill Calc.'!$D$18="Yes 10%",'AES Indiana Sep 23 Bill Calc.'!$D$20="Yes 2018"),'AES Indiana Sep 23 Bill Calc.'!$D$22)</f>
        <v>0</v>
      </c>
      <c r="E1016" s="111" t="b">
        <f>IF(AND('AES Indiana Sep 23 Bill Calc.'!$D$17="HL4",'AES Indiana Sep 23 Bill Calc.'!$D$18="Yes 10%",'AES Indiana Sep 23 Bill Calc.'!$D$20="Yes 2018"),'AES Indiana Sep 23 Bill Calc.'!$D$21)</f>
        <v>0</v>
      </c>
      <c r="F1016" s="37" t="s">
        <v>159</v>
      </c>
      <c r="G1016" s="113" t="e">
        <f>SUM(J1016:M1016,R1016:AA1016)</f>
        <v>#N/A</v>
      </c>
      <c r="H1016" s="19" t="e">
        <f>IF(ISBLANK(B1016),0,+#REF!/B1016)</f>
        <v>#REF!</v>
      </c>
      <c r="J1016" s="53">
        <f>IF(ISBLANK(B1016),0,+J$889)</f>
        <v>492.51</v>
      </c>
      <c r="K1016" s="17">
        <f>ROUND($B1016*K$985,2)</f>
        <v>-0.05</v>
      </c>
      <c r="L1016" s="17">
        <f>IF(ISBLANK($C1016),0,IF($C1016&lt;$C$890,ROUND($C$890*$L$985,2),IF($C1016&gt;L$986,ROUND(L$986*L$985,2),ROUND($C1016*L$985,2))))</f>
        <v>29180</v>
      </c>
      <c r="M1016" s="17">
        <f>IF($C1016&gt;L$797,ROUND(($C1016-L$797)*M$796,2),0)</f>
        <v>0</v>
      </c>
      <c r="N1016" s="17">
        <f>K1016</f>
        <v>-0.05</v>
      </c>
      <c r="O1016" s="17"/>
      <c r="P1016" s="17"/>
      <c r="Q1016" s="17">
        <f>SUM(L1016:M1016)</f>
        <v>29180</v>
      </c>
      <c r="R1016" s="16" t="e">
        <f>ROUND(SUM(K1016:M1016)*(R1015-1),2)</f>
        <v>#N/A</v>
      </c>
      <c r="S1016" s="17">
        <f>ROUND($B1016*S$889*S1015,2)</f>
        <v>0</v>
      </c>
      <c r="T1016" s="17">
        <f>ROUND($B1016*T$985,2)</f>
        <v>0</v>
      </c>
      <c r="U1016" s="17">
        <f>ROUND($B1016*U$985,2)</f>
        <v>0</v>
      </c>
      <c r="V1016" s="17">
        <f>ROUND($B1016*V$883,2)</f>
        <v>0</v>
      </c>
      <c r="W1016" s="17">
        <f>ROUND($B1016*W$985,2)</f>
        <v>0</v>
      </c>
      <c r="X1016" s="17">
        <f>ROUND($B1016*X$985,2)</f>
        <v>0</v>
      </c>
      <c r="Y1016" s="17">
        <f>ROUND($B1016*Y$985,2)</f>
        <v>0</v>
      </c>
      <c r="Z1016" s="17">
        <f>ROUND($B1016*Z$985,2)</f>
        <v>0</v>
      </c>
      <c r="AA1016" s="17">
        <f>ROUND($B1016*AA$985,2)</f>
        <v>0</v>
      </c>
      <c r="AB1016" s="19">
        <f>SUM(V968:AA968)</f>
        <v>0</v>
      </c>
      <c r="AC1016" s="78" t="str">
        <f>+F1016</f>
        <v>HL48</v>
      </c>
    </row>
    <row r="1017" spans="1:29" ht="13" x14ac:dyDescent="0.3">
      <c r="A1017" s="9"/>
      <c r="B1017" s="111">
        <v>-1</v>
      </c>
      <c r="D1017" s="8"/>
      <c r="E1017" s="9"/>
      <c r="F1017" s="37"/>
      <c r="G1017" s="17"/>
      <c r="H1017" s="19"/>
      <c r="J1017" s="8"/>
      <c r="K1017" s="17"/>
      <c r="L1017" s="17"/>
      <c r="M1017" s="17"/>
      <c r="N1017" s="17"/>
      <c r="O1017" s="17"/>
      <c r="P1017" s="17"/>
      <c r="Q1017" s="17"/>
      <c r="R1017" s="39" t="e">
        <f>VLOOKUP((D1018),'Pwr Factor'!$A$1:$B$52,2)</f>
        <v>#N/A</v>
      </c>
      <c r="S1017" s="51">
        <v>0</v>
      </c>
      <c r="T1017" s="17"/>
      <c r="U1017" s="17"/>
      <c r="V1017" s="17"/>
      <c r="W1017" s="17"/>
      <c r="X1017" s="17"/>
      <c r="Y1017" s="17"/>
      <c r="Z1017" s="17"/>
      <c r="AA1017" s="17"/>
    </row>
    <row r="1018" spans="1:29" ht="13" x14ac:dyDescent="0.3">
      <c r="A1018" s="57" t="s">
        <v>172</v>
      </c>
      <c r="B1018" s="111">
        <f>IF(AND('AES Indiana Sep 23 Bill Calc.'!$D$17="HL4",'AES Indiana Sep 23 Bill Calc.'!$D$18="No",'AES Indiana Sep 23 Bill Calc.'!$D$20="Yes 2018"),'AES Indiana Sep 23 Bill Calc.'!$D$19,-1)</f>
        <v>-1</v>
      </c>
      <c r="C1018" s="111">
        <f>MAX(E1018,$C$701)</f>
        <v>2000</v>
      </c>
      <c r="D1018" s="111" t="b">
        <f>IF(AND('AES Indiana Sep 23 Bill Calc.'!$D$17="HL4",'AES Indiana Sep 23 Bill Calc.'!$D$18="No",'AES Indiana Sep 23 Bill Calc.'!$D$20="Yes 2018"),'AES Indiana Sep 23 Bill Calc.'!$D$22)</f>
        <v>0</v>
      </c>
      <c r="E1018" s="111" t="b">
        <f>IF(AND('AES Indiana Sep 23 Bill Calc.'!$D$17="HL4",'AES Indiana Sep 23 Bill Calc.'!$D$18="No",'AES Indiana Sep 23 Bill Calc.'!$D$20="Yes 2018"),'AES Indiana Sep 23 Bill Calc.'!$D$21)</f>
        <v>0</v>
      </c>
      <c r="F1018" s="37" t="s">
        <v>159</v>
      </c>
      <c r="G1018" s="113" t="e">
        <f>SUM(J1018:M1018,R1018:AA1018)</f>
        <v>#N/A</v>
      </c>
      <c r="H1018" s="19" t="e">
        <f>IF(ISBLANK(B1018),0,+#REF!/B1018)</f>
        <v>#REF!</v>
      </c>
      <c r="J1018" s="53">
        <f>IF(ISBLANK(B1018),0,+J$889)</f>
        <v>492.51</v>
      </c>
      <c r="K1018" s="17">
        <f>ROUND($B1018*K$985,2)</f>
        <v>-0.05</v>
      </c>
      <c r="L1018" s="17">
        <f>IF(ISBLANK($C1018),0,IF($C1018&lt;$C$890,ROUND($C$890*$L$985,2),IF($C1018&gt;L$986,ROUND(L$986*L$985,2),ROUND($C1018*L$985,2))))</f>
        <v>29180</v>
      </c>
      <c r="M1018" s="17">
        <f>IF($C1018&gt;L$797,ROUND(($C1018-L$797)*M$796,2),0)</f>
        <v>0</v>
      </c>
      <c r="N1018" s="17">
        <f>K1018</f>
        <v>-0.05</v>
      </c>
      <c r="O1018" s="17"/>
      <c r="P1018" s="17"/>
      <c r="Q1018" s="17">
        <f>SUM(L1018:M1018)</f>
        <v>29180</v>
      </c>
      <c r="R1018" s="16" t="e">
        <f>ROUND(SUM(K1018:M1018)*(R1017-1),2)</f>
        <v>#N/A</v>
      </c>
      <c r="S1018" s="17">
        <f>ROUND($B1018*S$889*S1017,2)</f>
        <v>0</v>
      </c>
      <c r="T1018" s="17">
        <f>ROUND($B1018*T$985,2)</f>
        <v>0</v>
      </c>
      <c r="U1018" s="17">
        <f>ROUND($B1018*U$985,2)</f>
        <v>0</v>
      </c>
      <c r="V1018" s="17">
        <f>ROUND($B1018*V$883,2)</f>
        <v>0</v>
      </c>
      <c r="W1018" s="17">
        <f>ROUND($B1018*W$985,2)</f>
        <v>0</v>
      </c>
      <c r="X1018" s="17">
        <f>ROUND($B1018*X$985,2)</f>
        <v>0</v>
      </c>
      <c r="Y1018" s="17">
        <f>ROUND($B1018*Y$985,2)</f>
        <v>0</v>
      </c>
      <c r="Z1018" s="17">
        <f>ROUND($B1018*Z$985,2)</f>
        <v>0</v>
      </c>
      <c r="AA1018" s="17">
        <f>ROUND($B1018*AA$985,2)</f>
        <v>0</v>
      </c>
      <c r="AB1018" s="19">
        <f>SUM(V970:AA970)</f>
        <v>0</v>
      </c>
      <c r="AC1018" s="78" t="str">
        <f>+F1018</f>
        <v>HL48</v>
      </c>
    </row>
    <row r="1019" spans="1:29" ht="13" x14ac:dyDescent="0.3">
      <c r="B1019" s="111">
        <v>-1</v>
      </c>
      <c r="D1019" s="8"/>
      <c r="E1019" s="9"/>
      <c r="F1019" s="37"/>
      <c r="G1019" s="17"/>
      <c r="H1019" s="19"/>
      <c r="J1019" s="8"/>
      <c r="K1019" s="17"/>
      <c r="L1019" s="17"/>
      <c r="M1019" s="17"/>
      <c r="N1019" s="17"/>
      <c r="O1019" s="17"/>
      <c r="P1019" s="17"/>
      <c r="Q1019" s="17"/>
      <c r="R1019" s="39" t="e">
        <f>VLOOKUP((D1020),'Pwr Factor'!$A$1:$B$52,2)</f>
        <v>#N/A</v>
      </c>
      <c r="S1019" s="51">
        <v>1</v>
      </c>
      <c r="T1019" s="17"/>
      <c r="U1019" s="17"/>
      <c r="V1019" s="17"/>
      <c r="W1019" s="17"/>
      <c r="X1019" s="17"/>
      <c r="Y1019" s="17"/>
      <c r="Z1019" s="17"/>
      <c r="AA1019" s="17"/>
    </row>
    <row r="1020" spans="1:29" ht="13" x14ac:dyDescent="0.3">
      <c r="A1020" s="1" t="s">
        <v>73</v>
      </c>
      <c r="B1020" s="111">
        <f>IF(AND('AES Indiana Sep 23 Bill Calc.'!$D$17="HL4",'AES Indiana Sep 23 Bill Calc.'!$D$18="Yes 100%",'AES Indiana Sep 23 Bill Calc.'!$D$20="Yes 2019"),'AES Indiana Sep 23 Bill Calc.'!$D$19,-1)</f>
        <v>-1</v>
      </c>
      <c r="C1020" s="111">
        <f>MAX(E1020,$C$701)</f>
        <v>2000</v>
      </c>
      <c r="D1020" s="111" t="b">
        <f>IF(AND('AES Indiana Sep 23 Bill Calc.'!$D$17="HL4",'AES Indiana Sep 23 Bill Calc.'!$D$18="Yes 100%",'AES Indiana Sep 23 Bill Calc.'!$D$20="Yes 2019"),'AES Indiana Sep 23 Bill Calc.'!$D$22)</f>
        <v>0</v>
      </c>
      <c r="E1020" s="111" t="b">
        <f>IF(AND('AES Indiana Sep 23 Bill Calc.'!$D$17="HL4",'AES Indiana Sep 23 Bill Calc.'!$D$18="Yes 100%",'AES Indiana Sep 23 Bill Calc.'!$D$20="Yes 2019"),'AES Indiana Sep 23 Bill Calc.'!$D$21)</f>
        <v>0</v>
      </c>
      <c r="F1020" s="37" t="s">
        <v>197</v>
      </c>
      <c r="G1020" s="113" t="e">
        <f>SUM(J1020:M1020,R1020:AA1020)</f>
        <v>#N/A</v>
      </c>
      <c r="H1020" s="19" t="e">
        <f>IF(ISBLANK(B1020),0,+#REF!/B1020)</f>
        <v>#REF!</v>
      </c>
      <c r="J1020" s="53">
        <f>IF(ISBLANK(B1020),0,+J$889)</f>
        <v>492.51</v>
      </c>
      <c r="K1020" s="17">
        <f>ROUND($B1020*K$985,2)</f>
        <v>-0.05</v>
      </c>
      <c r="L1020" s="17">
        <f>IF(ISBLANK($C1020),0,IF($C1020&lt;$C$890,ROUND($C$890*$L$985,2),IF($C1020&gt;L$986,ROUND(L$986*L$985,2),ROUND($C1020*L$985,2))))</f>
        <v>29180</v>
      </c>
      <c r="M1020" s="17">
        <f>IF($C1020&gt;L$797,ROUND(($C1020-L$797)*M$796,2),0)</f>
        <v>0</v>
      </c>
      <c r="N1020" s="17">
        <f>K1020</f>
        <v>-0.05</v>
      </c>
      <c r="O1020" s="17"/>
      <c r="P1020" s="17"/>
      <c r="Q1020" s="17">
        <f>SUM(L1020:M1020)</f>
        <v>29180</v>
      </c>
      <c r="R1020" s="16" t="e">
        <f>ROUND(SUM(K1020:M1020)*(R1019-1),2)</f>
        <v>#N/A</v>
      </c>
      <c r="S1020" s="17">
        <f>ROUND($B1020*S$889*S1019,2)</f>
        <v>0</v>
      </c>
      <c r="T1020" s="17">
        <f>ROUND($B1020*T$985,2)</f>
        <v>0</v>
      </c>
      <c r="U1020" s="17">
        <f>ROUND($B1020*U$985,2)</f>
        <v>0</v>
      </c>
      <c r="V1020" s="17">
        <f>ROUND($B1020*V$884,2)</f>
        <v>0</v>
      </c>
      <c r="W1020" s="17">
        <f>ROUND($B1020*W$985,2)</f>
        <v>0</v>
      </c>
      <c r="X1020" s="17">
        <f>ROUND($B1020*X$985,2)</f>
        <v>0</v>
      </c>
      <c r="Y1020" s="17">
        <f>ROUND($B1020*Y$985,2)</f>
        <v>0</v>
      </c>
      <c r="Z1020" s="17">
        <f>ROUND($B1020*Z$985,2)</f>
        <v>0</v>
      </c>
      <c r="AA1020" s="17">
        <f>ROUND($B1020*AA$985,2)</f>
        <v>0</v>
      </c>
      <c r="AB1020" s="19">
        <f>SUM(V972:AA972)</f>
        <v>0</v>
      </c>
      <c r="AC1020" s="78" t="str">
        <f>+F1020</f>
        <v>HL49</v>
      </c>
    </row>
    <row r="1021" spans="1:29" ht="13" x14ac:dyDescent="0.3">
      <c r="A1021" s="49"/>
      <c r="B1021" s="111">
        <v>-1</v>
      </c>
      <c r="D1021" s="8"/>
      <c r="E1021" s="9"/>
      <c r="F1021" s="37"/>
      <c r="G1021" s="17"/>
      <c r="H1021" s="19"/>
      <c r="J1021" s="8"/>
      <c r="K1021" s="17"/>
      <c r="L1021" s="17"/>
      <c r="M1021" s="17"/>
      <c r="N1021" s="17"/>
      <c r="O1021" s="17"/>
      <c r="P1021" s="17"/>
      <c r="Q1021" s="17"/>
      <c r="R1021" s="39" t="e">
        <f>VLOOKUP((D1022),'Pwr Factor'!$A$1:$B$52,2)</f>
        <v>#N/A</v>
      </c>
      <c r="S1021" s="51">
        <v>0.5</v>
      </c>
      <c r="T1021" s="17"/>
      <c r="U1021" s="17"/>
      <c r="V1021" s="17"/>
      <c r="W1021" s="17"/>
      <c r="X1021" s="17"/>
      <c r="Y1021" s="17"/>
      <c r="Z1021" s="17"/>
      <c r="AA1021" s="17"/>
    </row>
    <row r="1022" spans="1:29" ht="13" x14ac:dyDescent="0.3">
      <c r="A1022" s="57" t="s">
        <v>171</v>
      </c>
      <c r="B1022" s="111">
        <f>IF(AND('AES Indiana Sep 23 Bill Calc.'!$D$17="HL4",'AES Indiana Sep 23 Bill Calc.'!$D$18="Yes 50%",'AES Indiana Sep 23 Bill Calc.'!$D$20="Yes 2019"),'AES Indiana Sep 23 Bill Calc.'!$D$19,-1)</f>
        <v>-1</v>
      </c>
      <c r="C1022" s="111">
        <f>MAX(E1022,$C$701)</f>
        <v>2000</v>
      </c>
      <c r="D1022" s="111" t="b">
        <f>IF(AND('AES Indiana Sep 23 Bill Calc.'!$D$17="HL4",'AES Indiana Sep 23 Bill Calc.'!$D$18="Yes 50%",'AES Indiana Sep 23 Bill Calc.'!$D$20="Yes 2019"),'AES Indiana Sep 23 Bill Calc.'!$D$22)</f>
        <v>0</v>
      </c>
      <c r="E1022" s="111" t="b">
        <f>IF(AND('AES Indiana Sep 23 Bill Calc.'!$D$17="HL4",'AES Indiana Sep 23 Bill Calc.'!$D$18="Yes 50%",'AES Indiana Sep 23 Bill Calc.'!$D$20="Yes 2019"),'AES Indiana Sep 23 Bill Calc.'!$D$21)</f>
        <v>0</v>
      </c>
      <c r="F1022" s="37" t="s">
        <v>197</v>
      </c>
      <c r="G1022" s="113" t="e">
        <f>SUM(J1022:M1022,R1022:AA1022)</f>
        <v>#N/A</v>
      </c>
      <c r="H1022" s="19" t="e">
        <f>IF(ISBLANK(B1022),0,+#REF!/B1022)</f>
        <v>#REF!</v>
      </c>
      <c r="J1022" s="53">
        <f>IF(ISBLANK(B1022),0,+J$889)</f>
        <v>492.51</v>
      </c>
      <c r="K1022" s="17">
        <f>ROUND($B1022*K$985,2)</f>
        <v>-0.05</v>
      </c>
      <c r="L1022" s="17">
        <f>IF(ISBLANK($C1022),0,IF($C1022&lt;$C$890,ROUND($C$890*$L$985,2),IF($C1022&gt;L$986,ROUND(L$986*L$985,2),ROUND($C1022*L$985,2))))</f>
        <v>29180</v>
      </c>
      <c r="M1022" s="17">
        <f>IF($C1022&gt;L$797,ROUND(($C1022-L$797)*M$796,2),0)</f>
        <v>0</v>
      </c>
      <c r="N1022" s="17">
        <f>K1022</f>
        <v>-0.05</v>
      </c>
      <c r="O1022" s="17"/>
      <c r="P1022" s="17"/>
      <c r="Q1022" s="17">
        <f>SUM(L1022:M1022)</f>
        <v>29180</v>
      </c>
      <c r="R1022" s="16" t="e">
        <f>ROUND(SUM(K1022:M1022)*(R1021-1),2)</f>
        <v>#N/A</v>
      </c>
      <c r="S1022" s="17">
        <f>ROUND($B1022*S$889*S1021,2)</f>
        <v>0</v>
      </c>
      <c r="T1022" s="17">
        <f>ROUND($B1022*T$985,2)</f>
        <v>0</v>
      </c>
      <c r="U1022" s="17">
        <f>ROUND($B1022*U$985,2)</f>
        <v>0</v>
      </c>
      <c r="V1022" s="17">
        <f>ROUND($B1022*V$884,2)</f>
        <v>0</v>
      </c>
      <c r="W1022" s="17">
        <f>ROUND($B1022*W$985,2)</f>
        <v>0</v>
      </c>
      <c r="X1022" s="17">
        <f>ROUND($B1022*X$985,2)</f>
        <v>0</v>
      </c>
      <c r="Y1022" s="17">
        <f>ROUND($B1022*Y$985,2)</f>
        <v>0</v>
      </c>
      <c r="Z1022" s="17">
        <f>ROUND($B1022*Z$985,2)</f>
        <v>0</v>
      </c>
      <c r="AA1022" s="17">
        <f>ROUND($B1022*AA$985,2)</f>
        <v>0</v>
      </c>
      <c r="AB1022" s="19">
        <f>SUM(V985:AA985)</f>
        <v>1.2880000000000003E-3</v>
      </c>
      <c r="AC1022" s="78" t="str">
        <f>+F1022</f>
        <v>HL49</v>
      </c>
    </row>
    <row r="1023" spans="1:29" ht="13" x14ac:dyDescent="0.3">
      <c r="A1023" s="9"/>
      <c r="B1023" s="111">
        <v>-1</v>
      </c>
      <c r="D1023" s="8"/>
      <c r="E1023" s="9"/>
      <c r="F1023" s="37"/>
      <c r="G1023" s="17"/>
      <c r="H1023" s="19"/>
      <c r="J1023" s="8"/>
      <c r="K1023" s="17"/>
      <c r="L1023" s="17"/>
      <c r="M1023" s="17"/>
      <c r="N1023" s="17"/>
      <c r="O1023" s="17"/>
      <c r="P1023" s="17"/>
      <c r="Q1023" s="17"/>
      <c r="R1023" s="39" t="e">
        <f>VLOOKUP((D1024),'Pwr Factor'!$A$1:$B$52,2)</f>
        <v>#N/A</v>
      </c>
      <c r="S1023" s="51">
        <v>0.25</v>
      </c>
      <c r="T1023" s="17"/>
      <c r="U1023" s="17"/>
      <c r="V1023" s="17"/>
      <c r="W1023" s="17"/>
      <c r="X1023" s="17"/>
      <c r="Y1023" s="17"/>
      <c r="Z1023" s="17"/>
      <c r="AA1023" s="17"/>
    </row>
    <row r="1024" spans="1:29" ht="13" x14ac:dyDescent="0.3">
      <c r="A1024" s="57" t="s">
        <v>158</v>
      </c>
      <c r="B1024" s="111">
        <f>IF(AND('AES Indiana Sep 23 Bill Calc.'!$D$17="HL4",'AES Indiana Sep 23 Bill Calc.'!$D$18="Yes 25%",'AES Indiana Sep 23 Bill Calc.'!$D$20="Yes 2019"),'AES Indiana Sep 23 Bill Calc.'!$D$19,-1)</f>
        <v>-1</v>
      </c>
      <c r="C1024" s="111">
        <f>MAX(E1024,$C$701)</f>
        <v>2000</v>
      </c>
      <c r="D1024" s="111" t="b">
        <f>IF(AND('AES Indiana Sep 23 Bill Calc.'!$D$17="HL4",'AES Indiana Sep 23 Bill Calc.'!$D$18="Yes 25%",'AES Indiana Sep 23 Bill Calc.'!$D$20="Yes 2019"),'AES Indiana Sep 23 Bill Calc.'!$D$22)</f>
        <v>0</v>
      </c>
      <c r="E1024" s="111" t="b">
        <f>IF(AND('AES Indiana Sep 23 Bill Calc.'!$D$17="HL4",'AES Indiana Sep 23 Bill Calc.'!$D$18="Yes 25%",'AES Indiana Sep 23 Bill Calc.'!$D$20="Yes 2019"),'AES Indiana Sep 23 Bill Calc.'!$D$21)</f>
        <v>0</v>
      </c>
      <c r="F1024" s="37" t="s">
        <v>197</v>
      </c>
      <c r="G1024" s="113" t="e">
        <f>SUM(J1024:M1024,R1024:AA1024)</f>
        <v>#N/A</v>
      </c>
      <c r="H1024" s="19" t="e">
        <f>IF(ISBLANK(B1024),0,+#REF!/B1024)</f>
        <v>#REF!</v>
      </c>
      <c r="J1024" s="53">
        <f>IF(ISBLANK(B1024),0,+J$889)</f>
        <v>492.51</v>
      </c>
      <c r="K1024" s="17">
        <f>ROUND($B1024*K$985,2)</f>
        <v>-0.05</v>
      </c>
      <c r="L1024" s="17">
        <f>IF(ISBLANK($C1024),0,IF($C1024&lt;$C$890,ROUND($C$890*$L$985,2),IF($C1024&gt;L$986,ROUND(L$986*L$985,2),ROUND($C1024*L$985,2))))</f>
        <v>29180</v>
      </c>
      <c r="M1024" s="17">
        <f>IF($C1024&gt;L$797,ROUND(($C1024-L$797)*M$796,2),0)</f>
        <v>0</v>
      </c>
      <c r="N1024" s="17">
        <f>K1024</f>
        <v>-0.05</v>
      </c>
      <c r="O1024" s="17"/>
      <c r="P1024" s="17"/>
      <c r="Q1024" s="17">
        <f>SUM(L1024:M1024)</f>
        <v>29180</v>
      </c>
      <c r="R1024" s="16" t="e">
        <f>ROUND(SUM(K1024:M1024)*(R1023-1),2)</f>
        <v>#N/A</v>
      </c>
      <c r="S1024" s="17">
        <f>ROUND($B1024*S$889*S1023,2)</f>
        <v>0</v>
      </c>
      <c r="T1024" s="17">
        <f>ROUND($B1024*T$985,2)</f>
        <v>0</v>
      </c>
      <c r="U1024" s="17">
        <f>ROUND($B1024*U$985,2)</f>
        <v>0</v>
      </c>
      <c r="V1024" s="17">
        <f>ROUND($B1024*V$884,2)</f>
        <v>0</v>
      </c>
      <c r="W1024" s="17">
        <f>ROUND($B1024*W$985,2)</f>
        <v>0</v>
      </c>
      <c r="X1024" s="17">
        <f>ROUND($B1024*X$985,2)</f>
        <v>0</v>
      </c>
      <c r="Y1024" s="17">
        <f>ROUND($B1024*Y$985,2)</f>
        <v>0</v>
      </c>
      <c r="Z1024" s="17">
        <f>ROUND($B1024*Z$985,2)</f>
        <v>0</v>
      </c>
      <c r="AA1024" s="17">
        <f>ROUND($B1024*AA$985,2)</f>
        <v>0</v>
      </c>
      <c r="AB1024" s="19">
        <f>SUM(V987:AA987)</f>
        <v>130</v>
      </c>
      <c r="AC1024" s="78" t="str">
        <f>+F1024</f>
        <v>HL49</v>
      </c>
    </row>
    <row r="1025" spans="1:29" ht="13" x14ac:dyDescent="0.3">
      <c r="A1025" s="9"/>
      <c r="B1025" s="111">
        <v>-1</v>
      </c>
      <c r="D1025" s="8"/>
      <c r="E1025" s="9"/>
      <c r="F1025" s="37"/>
      <c r="G1025" s="17"/>
      <c r="H1025" s="19"/>
      <c r="J1025" s="8"/>
      <c r="K1025" s="17"/>
      <c r="L1025" s="17"/>
      <c r="M1025" s="17"/>
      <c r="N1025" s="17"/>
      <c r="O1025" s="17"/>
      <c r="P1025" s="17"/>
      <c r="Q1025" s="17"/>
      <c r="R1025" s="39" t="e">
        <f>VLOOKUP((D1026),'Pwr Factor'!$A$1:$B$52,2)</f>
        <v>#N/A</v>
      </c>
      <c r="S1025" s="51">
        <v>0.1</v>
      </c>
      <c r="T1025" s="17"/>
      <c r="U1025" s="17"/>
      <c r="V1025" s="17"/>
      <c r="W1025" s="17"/>
      <c r="X1025" s="17"/>
      <c r="Y1025" s="17"/>
      <c r="Z1025" s="17"/>
      <c r="AA1025" s="17"/>
    </row>
    <row r="1026" spans="1:29" ht="13" x14ac:dyDescent="0.3">
      <c r="A1026" s="57" t="s">
        <v>173</v>
      </c>
      <c r="B1026" s="111">
        <f>IF(AND('AES Indiana Sep 23 Bill Calc.'!$D$17="HL4",'AES Indiana Sep 23 Bill Calc.'!$D$18="Yes 10%",'AES Indiana Sep 23 Bill Calc.'!$D$20="Yes 2019"),'AES Indiana Sep 23 Bill Calc.'!$D$19,-1)</f>
        <v>-1</v>
      </c>
      <c r="C1026" s="111">
        <f>MAX(E1026,$C$701)</f>
        <v>2000</v>
      </c>
      <c r="D1026" s="111" t="b">
        <f>IF(AND('AES Indiana Sep 23 Bill Calc.'!$D$17="HL4",'AES Indiana Sep 23 Bill Calc.'!$D$18="Yes 10%",'AES Indiana Sep 23 Bill Calc.'!$D$20="Yes 2019"),'AES Indiana Sep 23 Bill Calc.'!$D$22)</f>
        <v>0</v>
      </c>
      <c r="E1026" s="111" t="b">
        <f>IF(AND('AES Indiana Sep 23 Bill Calc.'!$D$17="HL4",'AES Indiana Sep 23 Bill Calc.'!$D$18="Yes 10%",'AES Indiana Sep 23 Bill Calc.'!$D$20="Yes 2019"),'AES Indiana Sep 23 Bill Calc.'!$D$21)</f>
        <v>0</v>
      </c>
      <c r="F1026" s="37" t="s">
        <v>197</v>
      </c>
      <c r="G1026" s="113" t="e">
        <f>SUM(J1026:M1026,R1026:AA1026)</f>
        <v>#N/A</v>
      </c>
      <c r="H1026" s="19" t="e">
        <f>IF(ISBLANK(B1026),0,+#REF!/B1026)</f>
        <v>#REF!</v>
      </c>
      <c r="J1026" s="53">
        <f>IF(ISBLANK(B1026),0,+J$889)</f>
        <v>492.51</v>
      </c>
      <c r="K1026" s="17">
        <f>ROUND($B1026*K$985,2)</f>
        <v>-0.05</v>
      </c>
      <c r="L1026" s="17">
        <f>IF(ISBLANK($C1026),0,IF($C1026&lt;$C$890,ROUND($C$890*$L$985,2),IF($C1026&gt;L$986,ROUND(L$986*L$985,2),ROUND($C1026*L$985,2))))</f>
        <v>29180</v>
      </c>
      <c r="M1026" s="17">
        <f>IF($C1026&gt;L$797,ROUND(($C1026-L$797)*M$796,2),0)</f>
        <v>0</v>
      </c>
      <c r="N1026" s="17">
        <f>K1026</f>
        <v>-0.05</v>
      </c>
      <c r="O1026" s="17"/>
      <c r="P1026" s="17"/>
      <c r="Q1026" s="17">
        <f>SUM(L1026:M1026)</f>
        <v>29180</v>
      </c>
      <c r="R1026" s="16" t="e">
        <f>ROUND(SUM(K1026:M1026)*(R1025-1),2)</f>
        <v>#N/A</v>
      </c>
      <c r="S1026" s="17">
        <f>ROUND($B1026*S$889*S1025,2)</f>
        <v>0</v>
      </c>
      <c r="T1026" s="17">
        <f>ROUND($B1026*T$985,2)</f>
        <v>0</v>
      </c>
      <c r="U1026" s="17">
        <f>ROUND($B1026*U$985,2)</f>
        <v>0</v>
      </c>
      <c r="V1026" s="17">
        <f>ROUND($B1026*V$884,2)</f>
        <v>0</v>
      </c>
      <c r="W1026" s="17">
        <f>ROUND($B1026*W$985,2)</f>
        <v>0</v>
      </c>
      <c r="X1026" s="17">
        <f>ROUND($B1026*X$985,2)</f>
        <v>0</v>
      </c>
      <c r="Y1026" s="17">
        <f>ROUND($B1026*Y$985,2)</f>
        <v>0</v>
      </c>
      <c r="Z1026" s="17">
        <f>ROUND($B1026*Z$985,2)</f>
        <v>0</v>
      </c>
      <c r="AA1026" s="17">
        <f>ROUND($B1026*AA$985,2)</f>
        <v>0</v>
      </c>
      <c r="AB1026" s="19">
        <f>SUM(V989:AA989)</f>
        <v>0</v>
      </c>
      <c r="AC1026" s="78" t="str">
        <f>+F1026</f>
        <v>HL49</v>
      </c>
    </row>
    <row r="1027" spans="1:29" ht="13" x14ac:dyDescent="0.3">
      <c r="A1027" s="9"/>
      <c r="B1027" s="111">
        <v>-1</v>
      </c>
      <c r="D1027" s="8"/>
      <c r="E1027" s="9"/>
      <c r="F1027" s="37"/>
      <c r="G1027" s="17"/>
      <c r="H1027" s="19"/>
      <c r="J1027" s="8"/>
      <c r="K1027" s="17"/>
      <c r="L1027" s="17"/>
      <c r="M1027" s="17"/>
      <c r="N1027" s="17"/>
      <c r="O1027" s="17"/>
      <c r="P1027" s="17"/>
      <c r="Q1027" s="17"/>
      <c r="R1027" s="39" t="e">
        <f>VLOOKUP((D1028),'Pwr Factor'!$A$1:$B$52,2)</f>
        <v>#N/A</v>
      </c>
      <c r="S1027" s="51">
        <v>0</v>
      </c>
      <c r="T1027" s="17"/>
      <c r="U1027" s="17"/>
      <c r="V1027" s="17"/>
      <c r="W1027" s="17"/>
      <c r="X1027" s="17"/>
      <c r="Y1027" s="17"/>
      <c r="Z1027" s="17"/>
      <c r="AA1027" s="17"/>
    </row>
    <row r="1028" spans="1:29" ht="13" x14ac:dyDescent="0.3">
      <c r="A1028" s="57" t="s">
        <v>172</v>
      </c>
      <c r="B1028" s="111">
        <f>IF(AND('AES Indiana Sep 23 Bill Calc.'!$D$17="HL4",'AES Indiana Sep 23 Bill Calc.'!$D$18="No",'AES Indiana Sep 23 Bill Calc.'!$D$20="Yes 2019"),'AES Indiana Sep 23 Bill Calc.'!$D$19,-1)</f>
        <v>-1</v>
      </c>
      <c r="C1028" s="111">
        <f>MAX(E1028,$C$701)</f>
        <v>2000</v>
      </c>
      <c r="D1028" s="111" t="b">
        <f>IF(AND('AES Indiana Sep 23 Bill Calc.'!$D$17="HL4",'AES Indiana Sep 23 Bill Calc.'!$D$18="No",'AES Indiana Sep 23 Bill Calc.'!$D$20="Yes 2019"),'AES Indiana Sep 23 Bill Calc.'!$D$22)</f>
        <v>0</v>
      </c>
      <c r="E1028" s="111" t="b">
        <f>IF(AND('AES Indiana Sep 23 Bill Calc.'!$D$17="HL4",'AES Indiana Sep 23 Bill Calc.'!$D$18="No",'AES Indiana Sep 23 Bill Calc.'!$D$20="Yes 2019"),'AES Indiana Sep 23 Bill Calc.'!$D$21)</f>
        <v>0</v>
      </c>
      <c r="F1028" s="37" t="s">
        <v>197</v>
      </c>
      <c r="G1028" s="113" t="e">
        <f>SUM(J1028:M1028,R1028:AA1028)</f>
        <v>#N/A</v>
      </c>
      <c r="H1028" s="19" t="e">
        <f>IF(ISBLANK(B1028),0,+#REF!/B1028)</f>
        <v>#REF!</v>
      </c>
      <c r="J1028" s="53">
        <f>IF(ISBLANK(B1028),0,+J$889)</f>
        <v>492.51</v>
      </c>
      <c r="K1028" s="17">
        <f>ROUND($B1028*K$985,2)</f>
        <v>-0.05</v>
      </c>
      <c r="L1028" s="17">
        <f>IF(ISBLANK($C1028),0,IF($C1028&lt;$C$890,ROUND($C$890*$L$985,2),IF($C1028&gt;L$986,ROUND(L$986*L$985,2),ROUND($C1028*L$985,2))))</f>
        <v>29180</v>
      </c>
      <c r="M1028" s="17">
        <f>IF($C1028&gt;L$797,ROUND(($C1028-L$797)*M$796,2),0)</f>
        <v>0</v>
      </c>
      <c r="N1028" s="17">
        <f>K1028</f>
        <v>-0.05</v>
      </c>
      <c r="O1028" s="17"/>
      <c r="P1028" s="17"/>
      <c r="Q1028" s="17">
        <f>SUM(L1028:M1028)</f>
        <v>29180</v>
      </c>
      <c r="R1028" s="16" t="e">
        <f>ROUND(SUM(K1028:M1028)*(R1027-1),2)</f>
        <v>#N/A</v>
      </c>
      <c r="S1028" s="17">
        <f>ROUND($B1028*S$889*S1027,2)</f>
        <v>0</v>
      </c>
      <c r="T1028" s="17">
        <f>ROUND($B1028*T$985,2)</f>
        <v>0</v>
      </c>
      <c r="U1028" s="17">
        <f>ROUND($B1028*U$985,2)</f>
        <v>0</v>
      </c>
      <c r="V1028" s="17">
        <f>ROUND($B1028*V$884,2)</f>
        <v>0</v>
      </c>
      <c r="W1028" s="17">
        <f>ROUND($B1028*W$985,2)</f>
        <v>0</v>
      </c>
      <c r="X1028" s="17">
        <f>ROUND($B1028*X$985,2)</f>
        <v>0</v>
      </c>
      <c r="Y1028" s="17">
        <f>ROUND($B1028*Y$985,2)</f>
        <v>0</v>
      </c>
      <c r="Z1028" s="17">
        <f>ROUND($B1028*Z$985,2)</f>
        <v>0</v>
      </c>
      <c r="AA1028" s="17">
        <f>ROUND($B1028*AA$985,2)</f>
        <v>0</v>
      </c>
      <c r="AB1028" s="19">
        <f>SUM(V991:AA991)</f>
        <v>0</v>
      </c>
      <c r="AC1028" s="78" t="str">
        <f>+F1028</f>
        <v>HL49</v>
      </c>
    </row>
    <row r="1029" spans="1:29" ht="13" x14ac:dyDescent="0.3">
      <c r="B1029" s="111">
        <v>-1</v>
      </c>
      <c r="D1029" s="8"/>
      <c r="E1029" s="9"/>
      <c r="F1029" s="37"/>
      <c r="G1029" s="17"/>
      <c r="H1029" s="19"/>
      <c r="J1029" s="8"/>
      <c r="K1029" s="17"/>
      <c r="L1029" s="17"/>
      <c r="M1029" s="17"/>
      <c r="N1029" s="17"/>
      <c r="O1029" s="17"/>
      <c r="P1029" s="17"/>
      <c r="Q1029" s="17"/>
      <c r="R1029" s="39" t="e">
        <f>VLOOKUP((D1030),'Pwr Factor'!$A$1:$B$52,2)</f>
        <v>#N/A</v>
      </c>
      <c r="S1029" s="51">
        <v>1</v>
      </c>
      <c r="T1029" s="17"/>
      <c r="U1029" s="17"/>
      <c r="V1029" s="17"/>
      <c r="W1029" s="17"/>
      <c r="X1029" s="17"/>
      <c r="Y1029" s="17"/>
      <c r="Z1029" s="17"/>
      <c r="AA1029" s="17"/>
    </row>
    <row r="1030" spans="1:29" ht="13" x14ac:dyDescent="0.3">
      <c r="A1030" s="1" t="s">
        <v>73</v>
      </c>
      <c r="B1030" s="111">
        <f>IF(AND('AES Indiana Sep 23 Bill Calc.'!$D$17="HL4",'AES Indiana Sep 23 Bill Calc.'!$D$18="Yes 100%",'AES Indiana Sep 23 Bill Calc.'!$D$20="Yes 2020"),'AES Indiana Sep 23 Bill Calc.'!$D$19,-1)</f>
        <v>-1</v>
      </c>
      <c r="C1030" s="111">
        <f>MAX(E1030,$C$701)</f>
        <v>2000</v>
      </c>
      <c r="D1030" s="111" t="b">
        <f>IF(AND('AES Indiana Sep 23 Bill Calc.'!$D$17="HL4",'AES Indiana Sep 23 Bill Calc.'!$D$18="Yes 100%",'AES Indiana Sep 23 Bill Calc.'!$D$20="Yes 2020"),'AES Indiana Sep 23 Bill Calc.'!$D$22)</f>
        <v>0</v>
      </c>
      <c r="E1030" s="111" t="b">
        <f>IF(AND('AES Indiana Sep 23 Bill Calc.'!$D$17="HL4",'AES Indiana Sep 23 Bill Calc.'!$D$18="Yes 100%",'AES Indiana Sep 23 Bill Calc.'!$D$20="Yes 2020"),'AES Indiana Sep 23 Bill Calc.'!$D$21)</f>
        <v>0</v>
      </c>
      <c r="F1030" s="37" t="s">
        <v>244</v>
      </c>
      <c r="G1030" s="113" t="e">
        <f>SUM(J1030:M1030,R1030:AA1030)</f>
        <v>#N/A</v>
      </c>
      <c r="H1030" s="19" t="e">
        <f>IF(ISBLANK(B1030),0,+#REF!/B1030)</f>
        <v>#REF!</v>
      </c>
      <c r="J1030" s="53">
        <f>IF(ISBLANK(B1030),0,+J$889)</f>
        <v>492.51</v>
      </c>
      <c r="K1030" s="17">
        <f>ROUND($B1030*K$985,2)</f>
        <v>-0.05</v>
      </c>
      <c r="L1030" s="17">
        <f>IF(ISBLANK($C1030),0,IF($C1030&lt;$C$890,ROUND($C$890*$L$985,2),IF($C1030&gt;L$986,ROUND(L$986*L$985,2),ROUND($C1030*L$985,2))))</f>
        <v>29180</v>
      </c>
      <c r="M1030" s="17">
        <f>IF($C1030&gt;L$797,ROUND(($C1030-L$797)*M$796,2),0)</f>
        <v>0</v>
      </c>
      <c r="N1030" s="17">
        <f>K1030</f>
        <v>-0.05</v>
      </c>
      <c r="O1030" s="17"/>
      <c r="P1030" s="17"/>
      <c r="Q1030" s="17">
        <f>SUM(L1030:M1030)</f>
        <v>29180</v>
      </c>
      <c r="R1030" s="16" t="e">
        <f>ROUND(SUM(K1030:M1030)*(R1029-1),2)</f>
        <v>#N/A</v>
      </c>
      <c r="S1030" s="17">
        <f>ROUND($B1030*S$889*S1029,2)</f>
        <v>0</v>
      </c>
      <c r="T1030" s="17">
        <f>ROUND($B1030*T$985,2)</f>
        <v>0</v>
      </c>
      <c r="U1030" s="17">
        <f>ROUND($B1030*U$985,2)</f>
        <v>0</v>
      </c>
      <c r="V1030" s="17">
        <f>ROUND($B1030*V$885,2)</f>
        <v>0</v>
      </c>
      <c r="W1030" s="17">
        <f>ROUND($B1030*W$985,2)</f>
        <v>0</v>
      </c>
      <c r="X1030" s="17">
        <f>ROUND($B1030*X$985,2)</f>
        <v>0</v>
      </c>
      <c r="Y1030" s="17">
        <f>ROUND($B1030*Y$985,2)</f>
        <v>0</v>
      </c>
      <c r="Z1030" s="17">
        <f>ROUND($B1030*Z$985,2)</f>
        <v>0</v>
      </c>
      <c r="AA1030" s="17">
        <f>ROUND($B1030*AA$985,2)</f>
        <v>0</v>
      </c>
      <c r="AB1030" s="19">
        <f>SUM(V993:AA993)</f>
        <v>0</v>
      </c>
      <c r="AC1030" s="78" t="str">
        <f>+F1030</f>
        <v>HL40</v>
      </c>
    </row>
    <row r="1031" spans="1:29" ht="13" x14ac:dyDescent="0.3">
      <c r="A1031" s="49"/>
      <c r="B1031" s="111">
        <v>-1</v>
      </c>
      <c r="D1031" s="8"/>
      <c r="E1031" s="9"/>
      <c r="F1031" s="37"/>
      <c r="G1031" s="17"/>
      <c r="H1031" s="19"/>
      <c r="J1031" s="8"/>
      <c r="K1031" s="17"/>
      <c r="L1031" s="17"/>
      <c r="M1031" s="17"/>
      <c r="N1031" s="17"/>
      <c r="O1031" s="17"/>
      <c r="P1031" s="17"/>
      <c r="Q1031" s="17"/>
      <c r="R1031" s="39" t="e">
        <f>VLOOKUP((D1032),'Pwr Factor'!$A$1:$B$52,2)</f>
        <v>#N/A</v>
      </c>
      <c r="S1031" s="51">
        <v>0.5</v>
      </c>
      <c r="T1031" s="17"/>
      <c r="U1031" s="17"/>
      <c r="V1031" s="17"/>
      <c r="W1031" s="17"/>
      <c r="X1031" s="17"/>
      <c r="Y1031" s="17"/>
      <c r="Z1031" s="17"/>
      <c r="AA1031" s="17"/>
    </row>
    <row r="1032" spans="1:29" ht="13" x14ac:dyDescent="0.3">
      <c r="A1032" s="57" t="s">
        <v>171</v>
      </c>
      <c r="B1032" s="111">
        <f>IF(AND('AES Indiana Sep 23 Bill Calc.'!$D$17="HL4",'AES Indiana Sep 23 Bill Calc.'!$D$18="Yes 50%",'AES Indiana Sep 23 Bill Calc.'!$D$20="Yes 2020"),'AES Indiana Sep 23 Bill Calc.'!$D$19,-1)</f>
        <v>-1</v>
      </c>
      <c r="C1032" s="111">
        <f>MAX(E1032,$C$701)</f>
        <v>2000</v>
      </c>
      <c r="D1032" s="111" t="b">
        <f>IF(AND('AES Indiana Sep 23 Bill Calc.'!$D$17="HL4",'AES Indiana Sep 23 Bill Calc.'!$D$18="Yes 50%",'AES Indiana Sep 23 Bill Calc.'!$D$20="Yes 2020"),'AES Indiana Sep 23 Bill Calc.'!$D$22)</f>
        <v>0</v>
      </c>
      <c r="E1032" s="111" t="b">
        <f>IF(AND('AES Indiana Sep 23 Bill Calc.'!$D$17="HL4",'AES Indiana Sep 23 Bill Calc.'!$D$18="Yes 50%",'AES Indiana Sep 23 Bill Calc.'!$D$20="Yes 2020"),'AES Indiana Sep 23 Bill Calc.'!$D$21)</f>
        <v>0</v>
      </c>
      <c r="F1032" s="37" t="s">
        <v>244</v>
      </c>
      <c r="G1032" s="113" t="e">
        <f>SUM(J1032:M1032,R1032:AA1032)</f>
        <v>#N/A</v>
      </c>
      <c r="H1032" s="19" t="e">
        <f>IF(ISBLANK(B1032),0,+#REF!/B1032)</f>
        <v>#REF!</v>
      </c>
      <c r="J1032" s="53">
        <f>IF(ISBLANK(B1032),0,+J$889)</f>
        <v>492.51</v>
      </c>
      <c r="K1032" s="17">
        <f>ROUND($B1032*K$985,2)</f>
        <v>-0.05</v>
      </c>
      <c r="L1032" s="17">
        <f>IF(ISBLANK($C1032),0,IF($C1032&lt;$C$890,ROUND($C$890*$L$985,2),IF($C1032&gt;L$986,ROUND(L$986*L$985,2),ROUND($C1032*L$985,2))))</f>
        <v>29180</v>
      </c>
      <c r="M1032" s="17">
        <f>IF($C1032&gt;L$797,ROUND(($C1032-L$797)*M$796,2),0)</f>
        <v>0</v>
      </c>
      <c r="N1032" s="17">
        <f>K1032</f>
        <v>-0.05</v>
      </c>
      <c r="O1032" s="17"/>
      <c r="P1032" s="17"/>
      <c r="Q1032" s="17">
        <f>SUM(L1032:M1032)</f>
        <v>29180</v>
      </c>
      <c r="R1032" s="16" t="e">
        <f>ROUND(SUM(K1032:M1032)*(R1031-1),2)</f>
        <v>#N/A</v>
      </c>
      <c r="S1032" s="17">
        <f>ROUND($B1032*S$889*S1031,2)</f>
        <v>0</v>
      </c>
      <c r="T1032" s="17">
        <f>ROUND($B1032*T$985,2)</f>
        <v>0</v>
      </c>
      <c r="U1032" s="17">
        <f>ROUND($B1032*U$985,2)</f>
        <v>0</v>
      </c>
      <c r="V1032" s="17">
        <f>ROUND($B1032*V$885,2)</f>
        <v>0</v>
      </c>
      <c r="W1032" s="17">
        <f>ROUND($B1032*W$985,2)</f>
        <v>0</v>
      </c>
      <c r="X1032" s="17">
        <f>ROUND($B1032*X$985,2)</f>
        <v>0</v>
      </c>
      <c r="Y1032" s="17">
        <f>ROUND($B1032*Y$985,2)</f>
        <v>0</v>
      </c>
      <c r="Z1032" s="17">
        <f>ROUND($B1032*Z$985,2)</f>
        <v>0</v>
      </c>
      <c r="AA1032" s="17">
        <f>ROUND($B1032*AA$985,2)</f>
        <v>0</v>
      </c>
      <c r="AB1032" s="19">
        <f>SUM(V995:AA995)</f>
        <v>0</v>
      </c>
      <c r="AC1032" s="78" t="str">
        <f>+F1032</f>
        <v>HL40</v>
      </c>
    </row>
    <row r="1033" spans="1:29" ht="13" x14ac:dyDescent="0.3">
      <c r="A1033" s="9"/>
      <c r="B1033" s="111">
        <v>-1</v>
      </c>
      <c r="D1033" s="8"/>
      <c r="E1033" s="9"/>
      <c r="F1033" s="37"/>
      <c r="G1033" s="17"/>
      <c r="H1033" s="19"/>
      <c r="J1033" s="8"/>
      <c r="K1033" s="17"/>
      <c r="L1033" s="17"/>
      <c r="M1033" s="17"/>
      <c r="N1033" s="17"/>
      <c r="O1033" s="17"/>
      <c r="P1033" s="17"/>
      <c r="Q1033" s="17"/>
      <c r="R1033" s="39" t="e">
        <f>VLOOKUP((D1034),'Pwr Factor'!$A$1:$B$52,2)</f>
        <v>#N/A</v>
      </c>
      <c r="S1033" s="51">
        <v>0.25</v>
      </c>
      <c r="T1033" s="17"/>
      <c r="U1033" s="17"/>
      <c r="V1033" s="17"/>
      <c r="W1033" s="17"/>
      <c r="X1033" s="17"/>
      <c r="Y1033" s="17"/>
      <c r="Z1033" s="17"/>
      <c r="AA1033" s="17"/>
    </row>
    <row r="1034" spans="1:29" ht="13" x14ac:dyDescent="0.3">
      <c r="A1034" s="57" t="s">
        <v>158</v>
      </c>
      <c r="B1034" s="111">
        <f>IF(AND('AES Indiana Sep 23 Bill Calc.'!$D$17="HL4",'AES Indiana Sep 23 Bill Calc.'!$D$18="Yes 25%",'AES Indiana Sep 23 Bill Calc.'!$D$20="Yes 2020"),'AES Indiana Sep 23 Bill Calc.'!$D$19,-1)</f>
        <v>-1</v>
      </c>
      <c r="C1034" s="111">
        <f>MAX(E1034,$C$701)</f>
        <v>2000</v>
      </c>
      <c r="D1034" s="111" t="b">
        <f>IF(AND('AES Indiana Sep 23 Bill Calc.'!$D$17="HL4",'AES Indiana Sep 23 Bill Calc.'!$D$18="Yes 25%",'AES Indiana Sep 23 Bill Calc.'!$D$20="Yes 2020"),'AES Indiana Sep 23 Bill Calc.'!$D$22)</f>
        <v>0</v>
      </c>
      <c r="E1034" s="111" t="b">
        <f>IF(AND('AES Indiana Sep 23 Bill Calc.'!$D$17="HL4",'AES Indiana Sep 23 Bill Calc.'!$D$18="Yes 25%",'AES Indiana Sep 23 Bill Calc.'!$D$20="Yes 2020"),'AES Indiana Sep 23 Bill Calc.'!$D$21)</f>
        <v>0</v>
      </c>
      <c r="F1034" s="37" t="s">
        <v>244</v>
      </c>
      <c r="G1034" s="113" t="e">
        <f>SUM(J1034:M1034,R1034:AA1034)</f>
        <v>#N/A</v>
      </c>
      <c r="H1034" s="19" t="e">
        <f>IF(ISBLANK(B1034),0,+#REF!/B1034)</f>
        <v>#REF!</v>
      </c>
      <c r="J1034" s="53">
        <f>IF(ISBLANK(B1034),0,+J$889)</f>
        <v>492.51</v>
      </c>
      <c r="K1034" s="17">
        <f>ROUND($B1034*K$985,2)</f>
        <v>-0.05</v>
      </c>
      <c r="L1034" s="17">
        <f>IF(ISBLANK($C1034),0,IF($C1034&lt;$C$890,ROUND($C$890*$L$985,2),IF($C1034&gt;L$986,ROUND(L$986*L$985,2),ROUND($C1034*L$985,2))))</f>
        <v>29180</v>
      </c>
      <c r="M1034" s="17">
        <f>IF($C1034&gt;L$797,ROUND(($C1034-L$797)*M$796,2),0)</f>
        <v>0</v>
      </c>
      <c r="N1034" s="17">
        <f>K1034</f>
        <v>-0.05</v>
      </c>
      <c r="O1034" s="17"/>
      <c r="P1034" s="17"/>
      <c r="Q1034" s="17">
        <f>SUM(L1034:M1034)</f>
        <v>29180</v>
      </c>
      <c r="R1034" s="16" t="e">
        <f>ROUND(SUM(K1034:M1034)*(R1033-1),2)</f>
        <v>#N/A</v>
      </c>
      <c r="S1034" s="17">
        <f>ROUND($B1034*S$889*S1033,2)</f>
        <v>0</v>
      </c>
      <c r="T1034" s="17">
        <f>ROUND($B1034*T$985,2)</f>
        <v>0</v>
      </c>
      <c r="U1034" s="17">
        <f>ROUND($B1034*U$985,2)</f>
        <v>0</v>
      </c>
      <c r="V1034" s="17">
        <f>ROUND($B1034*V$885,2)</f>
        <v>0</v>
      </c>
      <c r="W1034" s="17">
        <f>ROUND($B1034*W$985,2)</f>
        <v>0</v>
      </c>
      <c r="X1034" s="17">
        <f>ROUND($B1034*X$985,2)</f>
        <v>0</v>
      </c>
      <c r="Y1034" s="17">
        <f>ROUND($B1034*Y$985,2)</f>
        <v>0</v>
      </c>
      <c r="Z1034" s="17">
        <f>ROUND($B1034*Z$985,2)</f>
        <v>0</v>
      </c>
      <c r="AA1034" s="17">
        <f>ROUND($B1034*AA$985,2)</f>
        <v>0</v>
      </c>
      <c r="AB1034" s="19">
        <f>SUM(V997:AA997)</f>
        <v>0</v>
      </c>
      <c r="AC1034" s="78" t="str">
        <f>+F1034</f>
        <v>HL40</v>
      </c>
    </row>
    <row r="1035" spans="1:29" ht="13" x14ac:dyDescent="0.3">
      <c r="A1035" s="9"/>
      <c r="B1035" s="111">
        <v>-1</v>
      </c>
      <c r="D1035" s="8"/>
      <c r="E1035" s="9"/>
      <c r="F1035" s="37"/>
      <c r="G1035" s="17"/>
      <c r="H1035" s="19"/>
      <c r="J1035" s="8"/>
      <c r="K1035" s="17"/>
      <c r="L1035" s="17"/>
      <c r="M1035" s="17"/>
      <c r="N1035" s="17"/>
      <c r="O1035" s="17"/>
      <c r="P1035" s="17"/>
      <c r="Q1035" s="17"/>
      <c r="R1035" s="39" t="e">
        <f>VLOOKUP((D1036),'Pwr Factor'!$A$1:$B$52,2)</f>
        <v>#N/A</v>
      </c>
      <c r="S1035" s="51">
        <v>0.1</v>
      </c>
      <c r="T1035" s="17"/>
      <c r="U1035" s="17"/>
      <c r="V1035" s="17"/>
      <c r="W1035" s="17"/>
      <c r="X1035" s="17"/>
      <c r="Y1035" s="17"/>
      <c r="Z1035" s="17"/>
      <c r="AA1035" s="17"/>
    </row>
    <row r="1036" spans="1:29" ht="13" x14ac:dyDescent="0.3">
      <c r="A1036" s="57" t="s">
        <v>173</v>
      </c>
      <c r="B1036" s="111">
        <f>IF(AND('AES Indiana Sep 23 Bill Calc.'!$D$17="HL4",'AES Indiana Sep 23 Bill Calc.'!$D$18="Yes 10%",'AES Indiana Sep 23 Bill Calc.'!$D$20="Yes 2020"),'AES Indiana Sep 23 Bill Calc.'!$D$19,-1)</f>
        <v>-1</v>
      </c>
      <c r="C1036" s="111">
        <f>MAX(E1036,$C$701)</f>
        <v>2000</v>
      </c>
      <c r="D1036" s="111" t="b">
        <f>IF(AND('AES Indiana Sep 23 Bill Calc.'!$D$17="HL4",'AES Indiana Sep 23 Bill Calc.'!$D$18="Yes 10%",'AES Indiana Sep 23 Bill Calc.'!$D$20="Yes 2020"),'AES Indiana Sep 23 Bill Calc.'!$D$22)</f>
        <v>0</v>
      </c>
      <c r="E1036" s="111" t="b">
        <f>IF(AND('AES Indiana Sep 23 Bill Calc.'!$D$17="HL4",'AES Indiana Sep 23 Bill Calc.'!$D$18="Yes 10%",'AES Indiana Sep 23 Bill Calc.'!$D$20="Yes 2020"),'AES Indiana Sep 23 Bill Calc.'!$D$21)</f>
        <v>0</v>
      </c>
      <c r="F1036" s="37" t="s">
        <v>244</v>
      </c>
      <c r="G1036" s="113" t="e">
        <f>SUM(J1036:M1036,R1036:AA1036)</f>
        <v>#N/A</v>
      </c>
      <c r="H1036" s="19" t="e">
        <f>IF(ISBLANK(B1036),0,+#REF!/B1036)</f>
        <v>#REF!</v>
      </c>
      <c r="J1036" s="53">
        <f>IF(ISBLANK(B1036),0,+J$889)</f>
        <v>492.51</v>
      </c>
      <c r="K1036" s="17">
        <f>ROUND($B1036*K$985,2)</f>
        <v>-0.05</v>
      </c>
      <c r="L1036" s="17">
        <f>IF(ISBLANK($C1036),0,IF($C1036&lt;$C$890,ROUND($C$890*$L$985,2),IF($C1036&gt;L$986,ROUND(L$986*L$985,2),ROUND($C1036*L$985,2))))</f>
        <v>29180</v>
      </c>
      <c r="M1036" s="17">
        <f>IF($C1036&gt;L$797,ROUND(($C1036-L$797)*M$796,2),0)</f>
        <v>0</v>
      </c>
      <c r="N1036" s="17">
        <f>K1036</f>
        <v>-0.05</v>
      </c>
      <c r="O1036" s="17"/>
      <c r="P1036" s="17"/>
      <c r="Q1036" s="17">
        <f>SUM(L1036:M1036)</f>
        <v>29180</v>
      </c>
      <c r="R1036" s="16" t="e">
        <f>ROUND(SUM(K1036:M1036)*(R1035-1),2)</f>
        <v>#N/A</v>
      </c>
      <c r="S1036" s="17">
        <f>ROUND($B1036*S$889*S1035,2)</f>
        <v>0</v>
      </c>
      <c r="T1036" s="17">
        <f>ROUND($B1036*T$985,2)</f>
        <v>0</v>
      </c>
      <c r="U1036" s="17">
        <f>ROUND($B1036*U$985,2)</f>
        <v>0</v>
      </c>
      <c r="V1036" s="17">
        <f>ROUND($B1036*V$885,2)</f>
        <v>0</v>
      </c>
      <c r="W1036" s="17">
        <f>ROUND($B1036*W$985,2)</f>
        <v>0</v>
      </c>
      <c r="X1036" s="17">
        <f>ROUND($B1036*X$985,2)</f>
        <v>0</v>
      </c>
      <c r="Y1036" s="17">
        <f>ROUND($B1036*Y$985,2)</f>
        <v>0</v>
      </c>
      <c r="Z1036" s="17">
        <f>ROUND($B1036*Z$985,2)</f>
        <v>0</v>
      </c>
      <c r="AA1036" s="17">
        <f>ROUND($B1036*AA$985,2)</f>
        <v>0</v>
      </c>
      <c r="AB1036" s="19">
        <f>SUM(V999:AA999)</f>
        <v>0</v>
      </c>
      <c r="AC1036" s="78" t="str">
        <f>+F1036</f>
        <v>HL40</v>
      </c>
    </row>
    <row r="1037" spans="1:29" ht="13" x14ac:dyDescent="0.3">
      <c r="A1037" s="9"/>
      <c r="B1037" s="111">
        <v>-1</v>
      </c>
      <c r="D1037" s="8"/>
      <c r="E1037" s="9"/>
      <c r="F1037" s="37"/>
      <c r="G1037" s="17"/>
      <c r="H1037" s="19"/>
      <c r="J1037" s="8"/>
      <c r="K1037" s="17"/>
      <c r="L1037" s="17"/>
      <c r="M1037" s="17"/>
      <c r="N1037" s="17"/>
      <c r="O1037" s="17"/>
      <c r="P1037" s="17"/>
      <c r="Q1037" s="17"/>
      <c r="R1037" s="39" t="e">
        <f>VLOOKUP((D1038),'Pwr Factor'!$A$1:$B$52,2)</f>
        <v>#N/A</v>
      </c>
      <c r="S1037" s="51">
        <v>0</v>
      </c>
      <c r="T1037" s="17"/>
      <c r="U1037" s="17"/>
      <c r="V1037" s="17"/>
      <c r="W1037" s="17"/>
      <c r="X1037" s="17"/>
      <c r="Y1037" s="17"/>
      <c r="Z1037" s="17"/>
      <c r="AA1037" s="17"/>
    </row>
    <row r="1038" spans="1:29" ht="13" x14ac:dyDescent="0.3">
      <c r="A1038" s="57" t="s">
        <v>172</v>
      </c>
      <c r="B1038" s="111">
        <f>IF(AND('AES Indiana Sep 23 Bill Calc.'!$D$17="HL4",'AES Indiana Sep 23 Bill Calc.'!$D$18="No",'AES Indiana Sep 23 Bill Calc.'!$D$20="Yes 2020"),'AES Indiana Sep 23 Bill Calc.'!$D$19,-1)</f>
        <v>-1</v>
      </c>
      <c r="C1038" s="111">
        <f>MAX(E1038,$C$701)</f>
        <v>2000</v>
      </c>
      <c r="D1038" s="111" t="b">
        <f>IF(AND('AES Indiana Sep 23 Bill Calc.'!$D$17="HL4",'AES Indiana Sep 23 Bill Calc.'!$D$18="No",'AES Indiana Sep 23 Bill Calc.'!$D$20="Yes 2020"),'AES Indiana Sep 23 Bill Calc.'!$D$22)</f>
        <v>0</v>
      </c>
      <c r="E1038" s="111" t="b">
        <f>IF(AND('AES Indiana Sep 23 Bill Calc.'!$D$17="HL4",'AES Indiana Sep 23 Bill Calc.'!$D$18="No",'AES Indiana Sep 23 Bill Calc.'!$D$20="Yes 2020"),'AES Indiana Sep 23 Bill Calc.'!$D$21)</f>
        <v>0</v>
      </c>
      <c r="F1038" s="37" t="s">
        <v>244</v>
      </c>
      <c r="G1038" s="113" t="e">
        <f>SUM(J1038:M1038,R1038:AA1038)</f>
        <v>#N/A</v>
      </c>
      <c r="H1038" s="19" t="e">
        <f>IF(ISBLANK(B1038),0,+#REF!/B1038)</f>
        <v>#REF!</v>
      </c>
      <c r="J1038" s="53">
        <f>IF(ISBLANK(B1038),0,+J$889)</f>
        <v>492.51</v>
      </c>
      <c r="K1038" s="17">
        <f>ROUND($B1038*K$985,2)</f>
        <v>-0.05</v>
      </c>
      <c r="L1038" s="17">
        <f>IF(ISBLANK($C1038),0,IF($C1038&lt;$C$890,ROUND($C$890*$L$985,2),IF($C1038&gt;L$986,ROUND(L$986*L$985,2),ROUND($C1038*L$985,2))))</f>
        <v>29180</v>
      </c>
      <c r="M1038" s="17">
        <f>IF($C1038&gt;L$797,ROUND(($C1038-L$797)*M$796,2),0)</f>
        <v>0</v>
      </c>
      <c r="N1038" s="17">
        <f>K1038</f>
        <v>-0.05</v>
      </c>
      <c r="O1038" s="17"/>
      <c r="P1038" s="17"/>
      <c r="Q1038" s="17">
        <f>SUM(L1038:M1038)</f>
        <v>29180</v>
      </c>
      <c r="R1038" s="16" t="e">
        <f>ROUND(SUM(K1038:M1038)*(R1037-1),2)</f>
        <v>#N/A</v>
      </c>
      <c r="S1038" s="17">
        <f>ROUND($B1038*S$889*S1037,2)</f>
        <v>0</v>
      </c>
      <c r="T1038" s="17">
        <f>ROUND($B1038*T$985,2)</f>
        <v>0</v>
      </c>
      <c r="U1038" s="17">
        <f>ROUND($B1038*U$985,2)</f>
        <v>0</v>
      </c>
      <c r="V1038" s="17">
        <f>ROUND($B1038*V$885,2)</f>
        <v>0</v>
      </c>
      <c r="W1038" s="17">
        <f>ROUND($B1038*W$985,2)</f>
        <v>0</v>
      </c>
      <c r="X1038" s="17">
        <f>ROUND($B1038*X$985,2)</f>
        <v>0</v>
      </c>
      <c r="Y1038" s="17">
        <f>ROUND($B1038*Y$985,2)</f>
        <v>0</v>
      </c>
      <c r="Z1038" s="17">
        <f>ROUND($B1038*Z$985,2)</f>
        <v>0</v>
      </c>
      <c r="AA1038" s="17">
        <f>ROUND($B1038*AA$985,2)</f>
        <v>0</v>
      </c>
      <c r="AB1038" s="19">
        <f>SUM(V1001:AA1001)</f>
        <v>0</v>
      </c>
      <c r="AC1038" s="78" t="str">
        <f>+F1038</f>
        <v>HL40</v>
      </c>
    </row>
    <row r="1039" spans="1:29" ht="13" x14ac:dyDescent="0.3">
      <c r="B1039" s="111">
        <v>-1</v>
      </c>
      <c r="D1039" s="8"/>
      <c r="E1039" s="9"/>
      <c r="F1039" s="37"/>
      <c r="G1039" s="17"/>
      <c r="H1039" s="19"/>
      <c r="J1039" s="8"/>
      <c r="K1039" s="17"/>
      <c r="L1039" s="17"/>
      <c r="M1039" s="17"/>
      <c r="N1039" s="17"/>
      <c r="O1039" s="17"/>
      <c r="P1039" s="17"/>
      <c r="Q1039" s="17"/>
      <c r="R1039" s="39" t="e">
        <f>VLOOKUP((D1040),'Pwr Factor'!$A$1:$B$52,2)</f>
        <v>#N/A</v>
      </c>
      <c r="S1039" s="51">
        <v>1</v>
      </c>
      <c r="T1039" s="17"/>
      <c r="U1039" s="17"/>
      <c r="V1039" s="17"/>
      <c r="W1039" s="17"/>
      <c r="X1039" s="17"/>
      <c r="Y1039" s="17"/>
      <c r="Z1039" s="17"/>
      <c r="AA1039" s="17"/>
    </row>
    <row r="1040" spans="1:29" ht="13" x14ac:dyDescent="0.3">
      <c r="A1040" s="1" t="s">
        <v>73</v>
      </c>
      <c r="B1040" s="111">
        <f>IF(AND('AES Indiana Sep 23 Bill Calc.'!$D$17="HL4",'AES Indiana Sep 23 Bill Calc.'!$D$18="Yes 100%",'AES Indiana Sep 23 Bill Calc.'!$D$20="Yes 2021"),'AES Indiana Sep 23 Bill Calc.'!$D$19,-1)</f>
        <v>-1</v>
      </c>
      <c r="C1040" s="111">
        <f>MAX(E1040,$C$701)</f>
        <v>2000</v>
      </c>
      <c r="D1040" s="111" t="b">
        <f>IF(AND('AES Indiana Sep 23 Bill Calc.'!$D$17="HL4",'AES Indiana Sep 23 Bill Calc.'!$D$18="Yes 100%",'AES Indiana Sep 23 Bill Calc.'!$D$20="Yes 2021"),'AES Indiana Sep 23 Bill Calc.'!$D$22)</f>
        <v>0</v>
      </c>
      <c r="E1040" s="111" t="b">
        <f>IF(AND('AES Indiana Sep 23 Bill Calc.'!$D$17="HL4",'AES Indiana Sep 23 Bill Calc.'!$D$18="Yes 100%",'AES Indiana Sep 23 Bill Calc.'!$D$20="Yes 2021"),'AES Indiana Sep 23 Bill Calc.'!$D$21)</f>
        <v>0</v>
      </c>
      <c r="F1040" s="37" t="s">
        <v>245</v>
      </c>
      <c r="G1040" s="113" t="e">
        <f>SUM(J1040:M1040,R1040:AA1040)</f>
        <v>#N/A</v>
      </c>
      <c r="H1040" s="19" t="e">
        <f>IF(ISBLANK(B1040),0,+#REF!/B1040)</f>
        <v>#REF!</v>
      </c>
      <c r="J1040" s="53">
        <f>IF(ISBLANK(B1040),0,+J$889)</f>
        <v>492.51</v>
      </c>
      <c r="K1040" s="17">
        <f>ROUND($B1040*K$985,2)</f>
        <v>-0.05</v>
      </c>
      <c r="L1040" s="17">
        <f>IF(ISBLANK($C1040),0,IF($C1040&lt;$C$890,ROUND($C$890*$L$985,2),IF($C1040&gt;L$986,ROUND(L$986*L$985,2),ROUND($C1040*L$985,2))))</f>
        <v>29180</v>
      </c>
      <c r="M1040" s="17">
        <f>IF($C1040&gt;L$797,ROUND(($C1040-L$797)*M$796,2),0)</f>
        <v>0</v>
      </c>
      <c r="N1040" s="17">
        <f>K1040</f>
        <v>-0.05</v>
      </c>
      <c r="O1040" s="17"/>
      <c r="P1040" s="17"/>
      <c r="Q1040" s="17">
        <f>SUM(L1040:M1040)</f>
        <v>29180</v>
      </c>
      <c r="R1040" s="16" t="e">
        <f>ROUND(SUM(K1040:M1040)*(R1039-1),2)</f>
        <v>#N/A</v>
      </c>
      <c r="S1040" s="17">
        <f>ROUND($B1040*S$889*S1039,2)</f>
        <v>0</v>
      </c>
      <c r="T1040" s="17">
        <f>ROUND($B1040*T$985,2)</f>
        <v>0</v>
      </c>
      <c r="U1040" s="17">
        <f>ROUND($B1040*U$985,2)</f>
        <v>0</v>
      </c>
      <c r="V1040" s="17">
        <f>ROUND($B1040*V$886,2)</f>
        <v>0</v>
      </c>
      <c r="W1040" s="17">
        <f>ROUND($B1040*W$985,2)</f>
        <v>0</v>
      </c>
      <c r="X1040" s="17">
        <f>ROUND($B1040*X$985,2)</f>
        <v>0</v>
      </c>
      <c r="Y1040" s="17">
        <f>ROUND($B1040*Y$985,2)</f>
        <v>0</v>
      </c>
      <c r="Z1040" s="17">
        <f>ROUND($B1040*Z$985,2)</f>
        <v>0</v>
      </c>
      <c r="AA1040" s="17">
        <f>ROUND($B1040*AA$985,2)</f>
        <v>0</v>
      </c>
      <c r="AB1040" s="19">
        <f>SUM(V1003:AA1003)</f>
        <v>0</v>
      </c>
      <c r="AC1040" s="78" t="str">
        <f>+F1040</f>
        <v>HL41</v>
      </c>
    </row>
    <row r="1041" spans="1:29" ht="13" x14ac:dyDescent="0.3">
      <c r="A1041" s="49"/>
      <c r="B1041" s="111">
        <v>-1</v>
      </c>
      <c r="D1041" s="8"/>
      <c r="E1041" s="9"/>
      <c r="F1041" s="37"/>
      <c r="G1041" s="17"/>
      <c r="H1041" s="19"/>
      <c r="J1041" s="8"/>
      <c r="K1041" s="17"/>
      <c r="L1041" s="17"/>
      <c r="M1041" s="17"/>
      <c r="N1041" s="17"/>
      <c r="O1041" s="17"/>
      <c r="P1041" s="17"/>
      <c r="Q1041" s="17"/>
      <c r="R1041" s="39" t="e">
        <f>VLOOKUP((D1042),'Pwr Factor'!$A$1:$B$52,2)</f>
        <v>#N/A</v>
      </c>
      <c r="S1041" s="51">
        <v>0.5</v>
      </c>
      <c r="T1041" s="17"/>
      <c r="U1041" s="17"/>
      <c r="V1041" s="17"/>
      <c r="W1041" s="17"/>
      <c r="X1041" s="17"/>
      <c r="Y1041" s="17"/>
      <c r="Z1041" s="17"/>
      <c r="AA1041" s="17"/>
    </row>
    <row r="1042" spans="1:29" ht="13" x14ac:dyDescent="0.3">
      <c r="A1042" s="57" t="s">
        <v>171</v>
      </c>
      <c r="B1042" s="111">
        <f>IF(AND('AES Indiana Sep 23 Bill Calc.'!$D$17="HL4",'AES Indiana Sep 23 Bill Calc.'!$D$18="Yes 50%",'AES Indiana Sep 23 Bill Calc.'!$D$20="Yes 2021"),'AES Indiana Sep 23 Bill Calc.'!$D$19,-1)</f>
        <v>-1</v>
      </c>
      <c r="C1042" s="111">
        <f>MAX(E1042,$C$701)</f>
        <v>2000</v>
      </c>
      <c r="D1042" s="111" t="b">
        <f>IF(AND('AES Indiana Sep 23 Bill Calc.'!$D$17="HL4",'AES Indiana Sep 23 Bill Calc.'!$D$18="Yes 50%",'AES Indiana Sep 23 Bill Calc.'!$D$20="Yes 2021"),'AES Indiana Sep 23 Bill Calc.'!$D$22)</f>
        <v>0</v>
      </c>
      <c r="E1042" s="111" t="b">
        <f>IF(AND('AES Indiana Sep 23 Bill Calc.'!$D$17="HL4",'AES Indiana Sep 23 Bill Calc.'!$D$18="Yes 50%",'AES Indiana Sep 23 Bill Calc.'!$D$20="Yes 2021"),'AES Indiana Sep 23 Bill Calc.'!$D$21)</f>
        <v>0</v>
      </c>
      <c r="F1042" s="37" t="s">
        <v>245</v>
      </c>
      <c r="G1042" s="113" t="e">
        <f>SUM(J1042:M1042,R1042:AA1042)</f>
        <v>#N/A</v>
      </c>
      <c r="H1042" s="19" t="e">
        <f>IF(ISBLANK(B1042),0,+#REF!/B1042)</f>
        <v>#REF!</v>
      </c>
      <c r="J1042" s="53">
        <f>IF(ISBLANK(B1042),0,+J$889)</f>
        <v>492.51</v>
      </c>
      <c r="K1042" s="17">
        <f>ROUND($B1042*K$985,2)</f>
        <v>-0.05</v>
      </c>
      <c r="L1042" s="17">
        <f>IF(ISBLANK($C1042),0,IF($C1042&lt;$C$890,ROUND($C$890*$L$985,2),IF($C1042&gt;L$986,ROUND(L$986*L$985,2),ROUND($C1042*L$985,2))))</f>
        <v>29180</v>
      </c>
      <c r="M1042" s="17">
        <f>IF($C1042&gt;L$797,ROUND(($C1042-L$797)*M$796,2),0)</f>
        <v>0</v>
      </c>
      <c r="N1042" s="17">
        <f>K1042</f>
        <v>-0.05</v>
      </c>
      <c r="O1042" s="17"/>
      <c r="P1042" s="17"/>
      <c r="Q1042" s="17">
        <f>SUM(L1042:M1042)</f>
        <v>29180</v>
      </c>
      <c r="R1042" s="16" t="e">
        <f>ROUND(SUM(K1042:M1042)*(R1041-1),2)</f>
        <v>#N/A</v>
      </c>
      <c r="S1042" s="17">
        <f>ROUND($B1042*S$889*S1041,2)</f>
        <v>0</v>
      </c>
      <c r="T1042" s="17">
        <f>ROUND($B1042*T$985,2)</f>
        <v>0</v>
      </c>
      <c r="U1042" s="17">
        <f>ROUND($B1042*U$985,2)</f>
        <v>0</v>
      </c>
      <c r="V1042" s="17">
        <f>ROUND($B1042*V$886,2)</f>
        <v>0</v>
      </c>
      <c r="W1042" s="17">
        <f>ROUND($B1042*W$985,2)</f>
        <v>0</v>
      </c>
      <c r="X1042" s="17">
        <f>ROUND($B1042*X$985,2)</f>
        <v>0</v>
      </c>
      <c r="Y1042" s="17">
        <f>ROUND($B1042*Y$985,2)</f>
        <v>0</v>
      </c>
      <c r="Z1042" s="17">
        <f>ROUND($B1042*Z$985,2)</f>
        <v>0</v>
      </c>
      <c r="AA1042" s="17">
        <f>ROUND($B1042*AA$985,2)</f>
        <v>0</v>
      </c>
      <c r="AB1042" s="19">
        <f>SUM(V1005:AA1005)</f>
        <v>0</v>
      </c>
      <c r="AC1042" s="78" t="str">
        <f>+F1042</f>
        <v>HL41</v>
      </c>
    </row>
    <row r="1043" spans="1:29" ht="13" x14ac:dyDescent="0.3">
      <c r="A1043" s="9"/>
      <c r="B1043" s="111">
        <v>-1</v>
      </c>
      <c r="D1043" s="8"/>
      <c r="E1043" s="9"/>
      <c r="F1043" s="37"/>
      <c r="G1043" s="17"/>
      <c r="H1043" s="19"/>
      <c r="J1043" s="8"/>
      <c r="K1043" s="17"/>
      <c r="L1043" s="17"/>
      <c r="M1043" s="17"/>
      <c r="N1043" s="17"/>
      <c r="O1043" s="17"/>
      <c r="P1043" s="17"/>
      <c r="Q1043" s="17"/>
      <c r="R1043" s="39" t="e">
        <f>VLOOKUP((D1044),'Pwr Factor'!$A$1:$B$52,2)</f>
        <v>#N/A</v>
      </c>
      <c r="S1043" s="51">
        <v>0.25</v>
      </c>
      <c r="T1043" s="17"/>
      <c r="U1043" s="17"/>
      <c r="V1043" s="17"/>
      <c r="W1043" s="17"/>
      <c r="X1043" s="17"/>
      <c r="Y1043" s="17"/>
      <c r="Z1043" s="17"/>
      <c r="AA1043" s="17"/>
    </row>
    <row r="1044" spans="1:29" ht="13" x14ac:dyDescent="0.3">
      <c r="A1044" s="57" t="s">
        <v>158</v>
      </c>
      <c r="B1044" s="111">
        <f>IF(AND('AES Indiana Sep 23 Bill Calc.'!$D$17="HL4",'AES Indiana Sep 23 Bill Calc.'!$D$18="Yes 25%",'AES Indiana Sep 23 Bill Calc.'!$D$20="Yes 2021"),'AES Indiana Sep 23 Bill Calc.'!$D$19,-1)</f>
        <v>-1</v>
      </c>
      <c r="C1044" s="111">
        <f>MAX(E1044,$C$701)</f>
        <v>2000</v>
      </c>
      <c r="D1044" s="111" t="b">
        <f>IF(AND('AES Indiana Sep 23 Bill Calc.'!$D$17="HL4",'AES Indiana Sep 23 Bill Calc.'!$D$18="Yes 25%",'AES Indiana Sep 23 Bill Calc.'!$D$20="Yes 2021"),'AES Indiana Sep 23 Bill Calc.'!$D$22)</f>
        <v>0</v>
      </c>
      <c r="E1044" s="111" t="b">
        <f>IF(AND('AES Indiana Sep 23 Bill Calc.'!$D$17="HL4",'AES Indiana Sep 23 Bill Calc.'!$D$18="Yes 25%",'AES Indiana Sep 23 Bill Calc.'!$D$20="Yes 2021"),'AES Indiana Sep 23 Bill Calc.'!$D$21)</f>
        <v>0</v>
      </c>
      <c r="F1044" s="37" t="s">
        <v>245</v>
      </c>
      <c r="G1044" s="113" t="e">
        <f>SUM(J1044:M1044,R1044:AA1044)</f>
        <v>#N/A</v>
      </c>
      <c r="H1044" s="19" t="e">
        <f>IF(ISBLANK(B1044),0,+#REF!/B1044)</f>
        <v>#REF!</v>
      </c>
      <c r="J1044" s="53">
        <f>IF(ISBLANK(B1044),0,+J$889)</f>
        <v>492.51</v>
      </c>
      <c r="K1044" s="17">
        <f>ROUND($B1044*K$985,2)</f>
        <v>-0.05</v>
      </c>
      <c r="L1044" s="17">
        <f>IF(ISBLANK($C1044),0,IF($C1044&lt;$C$890,ROUND($C$890*$L$985,2),IF($C1044&gt;L$986,ROUND(L$986*L$985,2),ROUND($C1044*L$985,2))))</f>
        <v>29180</v>
      </c>
      <c r="M1044" s="17">
        <f>IF($C1044&gt;L$797,ROUND(($C1044-L$797)*M$796,2),0)</f>
        <v>0</v>
      </c>
      <c r="N1044" s="17">
        <f>K1044</f>
        <v>-0.05</v>
      </c>
      <c r="O1044" s="17"/>
      <c r="P1044" s="17"/>
      <c r="Q1044" s="17">
        <f>SUM(L1044:M1044)</f>
        <v>29180</v>
      </c>
      <c r="R1044" s="16" t="e">
        <f>ROUND(SUM(K1044:M1044)*(R1043-1),2)</f>
        <v>#N/A</v>
      </c>
      <c r="S1044" s="17">
        <f>ROUND($B1044*S$889*S1043,2)</f>
        <v>0</v>
      </c>
      <c r="T1044" s="17">
        <f>ROUND($B1044*T$985,2)</f>
        <v>0</v>
      </c>
      <c r="U1044" s="17">
        <f>ROUND($B1044*U$985,2)</f>
        <v>0</v>
      </c>
      <c r="V1044" s="17">
        <f>ROUND($B1044*V$886,2)</f>
        <v>0</v>
      </c>
      <c r="W1044" s="17">
        <f>ROUND($B1044*W$985,2)</f>
        <v>0</v>
      </c>
      <c r="X1044" s="17">
        <f>ROUND($B1044*X$985,2)</f>
        <v>0</v>
      </c>
      <c r="Y1044" s="17">
        <f>ROUND($B1044*Y$985,2)</f>
        <v>0</v>
      </c>
      <c r="Z1044" s="17">
        <f>ROUND($B1044*Z$985,2)</f>
        <v>0</v>
      </c>
      <c r="AA1044" s="17">
        <f>ROUND($B1044*AA$985,2)</f>
        <v>0</v>
      </c>
      <c r="AB1044" s="19">
        <f>SUM(V1007:AA1007)</f>
        <v>0</v>
      </c>
      <c r="AC1044" s="78" t="str">
        <f>+F1044</f>
        <v>HL41</v>
      </c>
    </row>
    <row r="1045" spans="1:29" ht="13" x14ac:dyDescent="0.3">
      <c r="A1045" s="9"/>
      <c r="B1045" s="111">
        <v>-1</v>
      </c>
      <c r="D1045" s="8"/>
      <c r="E1045" s="9"/>
      <c r="F1045" s="37"/>
      <c r="G1045" s="17"/>
      <c r="H1045" s="19"/>
      <c r="J1045" s="8"/>
      <c r="K1045" s="17"/>
      <c r="L1045" s="17"/>
      <c r="M1045" s="17"/>
      <c r="N1045" s="17"/>
      <c r="O1045" s="17"/>
      <c r="P1045" s="17"/>
      <c r="Q1045" s="17"/>
      <c r="R1045" s="39" t="e">
        <f>VLOOKUP((D1046),'Pwr Factor'!$A$1:$B$52,2)</f>
        <v>#N/A</v>
      </c>
      <c r="S1045" s="51">
        <v>0.1</v>
      </c>
      <c r="T1045" s="17"/>
      <c r="U1045" s="17"/>
      <c r="V1045" s="17"/>
      <c r="W1045" s="17"/>
      <c r="X1045" s="17"/>
      <c r="Y1045" s="17"/>
      <c r="Z1045" s="17"/>
      <c r="AA1045" s="17"/>
    </row>
    <row r="1046" spans="1:29" ht="13" x14ac:dyDescent="0.3">
      <c r="A1046" s="57" t="s">
        <v>173</v>
      </c>
      <c r="B1046" s="111">
        <f>IF(AND('AES Indiana Sep 23 Bill Calc.'!$D$17="HL4",'AES Indiana Sep 23 Bill Calc.'!$D$18="Yes 10%",'AES Indiana Sep 23 Bill Calc.'!$D$20="Yes 2021"),'AES Indiana Sep 23 Bill Calc.'!$D$19,-1)</f>
        <v>-1</v>
      </c>
      <c r="C1046" s="111">
        <f>MAX(E1046,$C$701)</f>
        <v>2000</v>
      </c>
      <c r="D1046" s="111" t="b">
        <f>IF(AND('AES Indiana Sep 23 Bill Calc.'!$D$17="HL4",'AES Indiana Sep 23 Bill Calc.'!$D$18="Yes 10%",'AES Indiana Sep 23 Bill Calc.'!$D$20="Yes 2021"),'AES Indiana Sep 23 Bill Calc.'!$D$22)</f>
        <v>0</v>
      </c>
      <c r="E1046" s="111" t="b">
        <f>IF(AND('AES Indiana Sep 23 Bill Calc.'!$D$17="HL4",'AES Indiana Sep 23 Bill Calc.'!$D$18="Yes 10%",'AES Indiana Sep 23 Bill Calc.'!$D$20="Yes 2021"),'AES Indiana Sep 23 Bill Calc.'!$D$21)</f>
        <v>0</v>
      </c>
      <c r="F1046" s="37" t="s">
        <v>245</v>
      </c>
      <c r="G1046" s="113" t="e">
        <f>SUM(J1046:M1046,R1046:AA1046)</f>
        <v>#N/A</v>
      </c>
      <c r="H1046" s="19" t="e">
        <f>IF(ISBLANK(B1046),0,+#REF!/B1046)</f>
        <v>#REF!</v>
      </c>
      <c r="J1046" s="53">
        <f>IF(ISBLANK(B1046),0,+J$889)</f>
        <v>492.51</v>
      </c>
      <c r="K1046" s="17">
        <f>ROUND($B1046*K$985,2)</f>
        <v>-0.05</v>
      </c>
      <c r="L1046" s="17">
        <f>IF(ISBLANK($C1046),0,IF($C1046&lt;$C$890,ROUND($C$890*$L$985,2),IF($C1046&gt;L$986,ROUND(L$986*L$985,2),ROUND($C1046*L$985,2))))</f>
        <v>29180</v>
      </c>
      <c r="M1046" s="17">
        <f>IF($C1046&gt;L$797,ROUND(($C1046-L$797)*M$796,2),0)</f>
        <v>0</v>
      </c>
      <c r="N1046" s="17">
        <f>K1046</f>
        <v>-0.05</v>
      </c>
      <c r="O1046" s="17"/>
      <c r="P1046" s="17"/>
      <c r="Q1046" s="17">
        <f>SUM(L1046:M1046)</f>
        <v>29180</v>
      </c>
      <c r="R1046" s="16" t="e">
        <f>ROUND(SUM(K1046:M1046)*(R1045-1),2)</f>
        <v>#N/A</v>
      </c>
      <c r="S1046" s="17">
        <f>ROUND($B1046*S$889*S1045,2)</f>
        <v>0</v>
      </c>
      <c r="T1046" s="17">
        <f>ROUND($B1046*T$985,2)</f>
        <v>0</v>
      </c>
      <c r="U1046" s="17">
        <f>ROUND($B1046*U$985,2)</f>
        <v>0</v>
      </c>
      <c r="V1046" s="17">
        <f>ROUND($B1046*V$886,2)</f>
        <v>0</v>
      </c>
      <c r="W1046" s="17">
        <f>ROUND($B1046*W$985,2)</f>
        <v>0</v>
      </c>
      <c r="X1046" s="17">
        <f>ROUND($B1046*X$985,2)</f>
        <v>0</v>
      </c>
      <c r="Y1046" s="17">
        <f>ROUND($B1046*Y$985,2)</f>
        <v>0</v>
      </c>
      <c r="Z1046" s="17">
        <f>ROUND($B1046*Z$985,2)</f>
        <v>0</v>
      </c>
      <c r="AA1046" s="17">
        <f>ROUND($B1046*AA$985,2)</f>
        <v>0</v>
      </c>
      <c r="AB1046" s="19">
        <f>SUM(V1009:AA1009)</f>
        <v>0</v>
      </c>
      <c r="AC1046" s="78" t="str">
        <f>+F1046</f>
        <v>HL41</v>
      </c>
    </row>
    <row r="1047" spans="1:29" ht="13" x14ac:dyDescent="0.3">
      <c r="A1047" s="9"/>
      <c r="B1047" s="111">
        <v>-1</v>
      </c>
      <c r="D1047" s="8"/>
      <c r="E1047" s="9"/>
      <c r="F1047" s="37"/>
      <c r="G1047" s="17"/>
      <c r="H1047" s="19"/>
      <c r="J1047" s="8"/>
      <c r="K1047" s="17"/>
      <c r="L1047" s="17"/>
      <c r="M1047" s="17"/>
      <c r="N1047" s="17"/>
      <c r="O1047" s="17"/>
      <c r="P1047" s="17"/>
      <c r="Q1047" s="17"/>
      <c r="R1047" s="39" t="e">
        <f>VLOOKUP((D1048),'Pwr Factor'!$A$1:$B$52,2)</f>
        <v>#N/A</v>
      </c>
      <c r="S1047" s="51">
        <v>0</v>
      </c>
      <c r="T1047" s="17"/>
      <c r="U1047" s="17"/>
      <c r="V1047" s="17"/>
      <c r="W1047" s="17"/>
      <c r="X1047" s="17"/>
      <c r="Y1047" s="17"/>
      <c r="Z1047" s="17"/>
      <c r="AA1047" s="17"/>
    </row>
    <row r="1048" spans="1:29" ht="13" x14ac:dyDescent="0.3">
      <c r="A1048" s="57" t="s">
        <v>172</v>
      </c>
      <c r="B1048" s="111">
        <f>IF(AND('AES Indiana Sep 23 Bill Calc.'!$D$17="HL4",'AES Indiana Sep 23 Bill Calc.'!$D$18="No",'AES Indiana Sep 23 Bill Calc.'!$D$20="Yes 2021"),'AES Indiana Sep 23 Bill Calc.'!$D$19,-1)</f>
        <v>-1</v>
      </c>
      <c r="C1048" s="111">
        <f>MAX(E1048,$C$701)</f>
        <v>2000</v>
      </c>
      <c r="D1048" s="111" t="b">
        <f>IF(AND('AES Indiana Sep 23 Bill Calc.'!$D$17="HL4",'AES Indiana Sep 23 Bill Calc.'!$D$18="No",'AES Indiana Sep 23 Bill Calc.'!$D$20="Yes 2021"),'AES Indiana Sep 23 Bill Calc.'!$D$22)</f>
        <v>0</v>
      </c>
      <c r="E1048" s="111" t="b">
        <f>IF(AND('AES Indiana Sep 23 Bill Calc.'!$D$17="HL4",'AES Indiana Sep 23 Bill Calc.'!$D$18="No",'AES Indiana Sep 23 Bill Calc.'!$D$20="Yes 2021"),'AES Indiana Sep 23 Bill Calc.'!$D$21)</f>
        <v>0</v>
      </c>
      <c r="F1048" s="37" t="s">
        <v>245</v>
      </c>
      <c r="G1048" s="113" t="e">
        <f>SUM(J1048:M1048,R1048:AA1048)</f>
        <v>#N/A</v>
      </c>
      <c r="H1048" s="19" t="e">
        <f>IF(ISBLANK(B1048),0,+#REF!/B1048)</f>
        <v>#REF!</v>
      </c>
      <c r="J1048" s="53">
        <f>IF(ISBLANK(B1048),0,+J$889)</f>
        <v>492.51</v>
      </c>
      <c r="K1048" s="17">
        <f>ROUND($B1048*K$985,2)</f>
        <v>-0.05</v>
      </c>
      <c r="L1048" s="17">
        <f>IF(ISBLANK($C1048),0,IF($C1048&lt;$C$890,ROUND($C$890*$L$985,2),IF($C1048&gt;L$986,ROUND(L$986*L$985,2),ROUND($C1048*L$985,2))))</f>
        <v>29180</v>
      </c>
      <c r="M1048" s="17">
        <f>IF($C1048&gt;L$797,ROUND(($C1048-L$797)*M$796,2),0)</f>
        <v>0</v>
      </c>
      <c r="N1048" s="17">
        <f>K1048</f>
        <v>-0.05</v>
      </c>
      <c r="O1048" s="17"/>
      <c r="P1048" s="17"/>
      <c r="Q1048" s="17">
        <f>SUM(L1048:M1048)</f>
        <v>29180</v>
      </c>
      <c r="R1048" s="16" t="e">
        <f>ROUND(SUM(K1048:M1048)*(R1047-1),2)</f>
        <v>#N/A</v>
      </c>
      <c r="S1048" s="17">
        <f>ROUND($B1048*S$889*S1047,2)</f>
        <v>0</v>
      </c>
      <c r="T1048" s="17">
        <f>ROUND($B1048*T$985,2)</f>
        <v>0</v>
      </c>
      <c r="U1048" s="17">
        <f>ROUND($B1048*U$985,2)</f>
        <v>0</v>
      </c>
      <c r="V1048" s="17">
        <f>ROUND($B1048*V$886,2)</f>
        <v>0</v>
      </c>
      <c r="W1048" s="17">
        <f>ROUND($B1048*W$985,2)</f>
        <v>0</v>
      </c>
      <c r="X1048" s="17">
        <f>ROUND($B1048*X$985,2)</f>
        <v>0</v>
      </c>
      <c r="Y1048" s="17">
        <f>ROUND($B1048*Y$985,2)</f>
        <v>0</v>
      </c>
      <c r="Z1048" s="17">
        <f>ROUND($B1048*Z$985,2)</f>
        <v>0</v>
      </c>
      <c r="AA1048" s="17">
        <f>ROUND($B1048*AA$985,2)</f>
        <v>0</v>
      </c>
      <c r="AB1048" s="19">
        <f>SUM(V1011:AA1011)</f>
        <v>0</v>
      </c>
      <c r="AC1048" s="78" t="str">
        <f>+F1048</f>
        <v>HL41</v>
      </c>
    </row>
    <row r="1049" spans="1:29" s="21" customFormat="1" ht="13.5" thickBot="1" x14ac:dyDescent="0.35">
      <c r="A1049"/>
      <c r="B1049" s="111">
        <v>-1</v>
      </c>
      <c r="C1049" s="2"/>
      <c r="D1049" s="8"/>
      <c r="E1049" s="9"/>
      <c r="F1049" s="37"/>
      <c r="G1049" s="17"/>
      <c r="H1049" s="19"/>
      <c r="I1049"/>
      <c r="J1049" s="8"/>
      <c r="K1049" s="17"/>
      <c r="L1049" s="17"/>
      <c r="M1049" s="17"/>
      <c r="N1049" s="17"/>
      <c r="O1049" s="17"/>
      <c r="P1049" s="17"/>
      <c r="Q1049" s="17"/>
      <c r="R1049" s="39" t="e">
        <f>VLOOKUP((D1050),'Pwr Factor'!$A$1:$B$52,2)</f>
        <v>#N/A</v>
      </c>
      <c r="S1049" s="51">
        <v>1</v>
      </c>
      <c r="T1049" s="17"/>
      <c r="U1049" s="17"/>
      <c r="V1049" s="17"/>
      <c r="W1049" s="17"/>
      <c r="X1049" s="17"/>
      <c r="Y1049" s="17"/>
      <c r="Z1049" s="17"/>
      <c r="AA1049" s="17"/>
      <c r="AB1049"/>
      <c r="AC1049"/>
    </row>
    <row r="1050" spans="1:29" ht="13" x14ac:dyDescent="0.3">
      <c r="A1050" s="1" t="s">
        <v>73</v>
      </c>
      <c r="B1050" s="111">
        <f>IF(AND('AES Indiana Sep 23 Bill Calc.'!$D$17="HL4",'AES Indiana Sep 23 Bill Calc.'!$D$18="Yes 100%",'AES Indiana Sep 23 Bill Calc.'!$D$20="Yes 2022"),'AES Indiana Sep 23 Bill Calc.'!$D$19,-1)</f>
        <v>-1</v>
      </c>
      <c r="C1050" s="111">
        <f>MAX(E1050,$C$701)</f>
        <v>2000</v>
      </c>
      <c r="D1050" s="111" t="b">
        <f>IF(AND('AES Indiana Sep 23 Bill Calc.'!$D$17="HL4",'AES Indiana Sep 23 Bill Calc.'!$D$18="Yes 100%",'AES Indiana Sep 23 Bill Calc.'!$D$20="Yes 2022"),'AES Indiana Sep 23 Bill Calc.'!$D$22)</f>
        <v>0</v>
      </c>
      <c r="E1050" s="111" t="b">
        <f>IF(AND('AES Indiana Sep 23 Bill Calc.'!$D$17="HL4",'AES Indiana Sep 23 Bill Calc.'!$D$18="Yes 100%",'AES Indiana Sep 23 Bill Calc.'!$D$20="Yes 2022"),'AES Indiana Sep 23 Bill Calc.'!$D$21)</f>
        <v>0</v>
      </c>
      <c r="F1050" s="37" t="s">
        <v>246</v>
      </c>
      <c r="G1050" s="113" t="e">
        <f>SUM(J1050:M1050,R1050:AA1050)</f>
        <v>#N/A</v>
      </c>
      <c r="H1050" s="19" t="e">
        <f>IF(ISBLANK(B1050),0,+#REF!/B1050)</f>
        <v>#REF!</v>
      </c>
      <c r="J1050" s="53">
        <f>IF(ISBLANK(B1050),0,+J$889)</f>
        <v>492.51</v>
      </c>
      <c r="K1050" s="17">
        <f>ROUND($B1050*K$985,2)</f>
        <v>-0.05</v>
      </c>
      <c r="L1050" s="17">
        <f>IF(ISBLANK($C1050),0,IF($C1050&lt;$C$890,ROUND($C$890*$L$985,2),IF($C1050&gt;L$986,ROUND(L$986*L$985,2),ROUND($C1050*L$985,2))))</f>
        <v>29180</v>
      </c>
      <c r="M1050" s="17">
        <f>IF($C1050&gt;L$797,ROUND(($C1050-L$797)*M$796,2),0)</f>
        <v>0</v>
      </c>
      <c r="N1050" s="17">
        <f>K1050</f>
        <v>-0.05</v>
      </c>
      <c r="O1050" s="17"/>
      <c r="P1050" s="17"/>
      <c r="Q1050" s="17">
        <f>SUM(L1050:M1050)</f>
        <v>29180</v>
      </c>
      <c r="R1050" s="16" t="e">
        <f>ROUND(SUM(K1050:M1050)*(R1049-1),2)</f>
        <v>#N/A</v>
      </c>
      <c r="S1050" s="17">
        <f>ROUND($B1050*S$889*S1049,2)</f>
        <v>0</v>
      </c>
      <c r="T1050" s="17">
        <f>ROUND($B1050*T$985,2)</f>
        <v>0</v>
      </c>
      <c r="U1050" s="17">
        <f>ROUND($B1050*U$985,2)</f>
        <v>0</v>
      </c>
      <c r="V1050" s="17">
        <f>ROUND($B1050*V$887,2)</f>
        <v>0</v>
      </c>
      <c r="W1050" s="17">
        <f>ROUND($B1050*W$985,2)</f>
        <v>0</v>
      </c>
      <c r="X1050" s="17">
        <f>ROUND($B1050*X$985,2)</f>
        <v>0</v>
      </c>
      <c r="Y1050" s="17">
        <f>ROUND($B1050*Y$985,2)</f>
        <v>0</v>
      </c>
      <c r="Z1050" s="17">
        <f>ROUND($B1050*Z$985,2)</f>
        <v>0</v>
      </c>
      <c r="AA1050" s="17">
        <f>ROUND($B1050*AA$985,2)</f>
        <v>0</v>
      </c>
      <c r="AB1050" s="19">
        <f>SUM(V1013:AA1013)</f>
        <v>0</v>
      </c>
      <c r="AC1050" s="78" t="str">
        <f>+F1050</f>
        <v>HL42</v>
      </c>
    </row>
    <row r="1051" spans="1:29" ht="13" x14ac:dyDescent="0.3">
      <c r="A1051" s="49"/>
      <c r="B1051" s="111">
        <v>-1</v>
      </c>
      <c r="D1051" s="8"/>
      <c r="E1051" s="9"/>
      <c r="F1051" s="37"/>
      <c r="G1051" s="17"/>
      <c r="H1051" s="19"/>
      <c r="J1051" s="8"/>
      <c r="K1051" s="17"/>
      <c r="L1051" s="17"/>
      <c r="M1051" s="17"/>
      <c r="N1051" s="17"/>
      <c r="O1051" s="17"/>
      <c r="P1051" s="17"/>
      <c r="Q1051" s="17"/>
      <c r="R1051" s="39" t="e">
        <f>VLOOKUP((D1052),'Pwr Factor'!$A$1:$B$52,2)</f>
        <v>#N/A</v>
      </c>
      <c r="S1051" s="51">
        <v>0.5</v>
      </c>
      <c r="T1051" s="17"/>
      <c r="U1051" s="17"/>
      <c r="V1051" s="17"/>
      <c r="W1051" s="17"/>
      <c r="X1051" s="17"/>
      <c r="Y1051" s="17"/>
      <c r="Z1051" s="17"/>
      <c r="AA1051" s="17"/>
    </row>
    <row r="1052" spans="1:29" ht="13" x14ac:dyDescent="0.3">
      <c r="A1052" s="57" t="s">
        <v>171</v>
      </c>
      <c r="B1052" s="111">
        <f>IF(AND('AES Indiana Sep 23 Bill Calc.'!$D$17="HL4",'AES Indiana Sep 23 Bill Calc.'!$D$18="Yes 50%",'AES Indiana Sep 23 Bill Calc.'!$D$20="Yes 2022"),'AES Indiana Sep 23 Bill Calc.'!$D$19,-1)</f>
        <v>-1</v>
      </c>
      <c r="C1052" s="111">
        <f>MAX(E1052,$C$701)</f>
        <v>2000</v>
      </c>
      <c r="D1052" s="111" t="b">
        <f>IF(AND('AES Indiana Sep 23 Bill Calc.'!$D$17="HL4",'AES Indiana Sep 23 Bill Calc.'!$D$18="Yes 50%",'AES Indiana Sep 23 Bill Calc.'!$D$20="Yes 2022"),'AES Indiana Sep 23 Bill Calc.'!$D$22)</f>
        <v>0</v>
      </c>
      <c r="E1052" s="111" t="b">
        <f>IF(AND('AES Indiana Sep 23 Bill Calc.'!$D$17="HL4",'AES Indiana Sep 23 Bill Calc.'!$D$18="Yes 50%",'AES Indiana Sep 23 Bill Calc.'!$D$20="Yes 2022"),'AES Indiana Sep 23 Bill Calc.'!$D$21)</f>
        <v>0</v>
      </c>
      <c r="F1052" s="37" t="s">
        <v>246</v>
      </c>
      <c r="G1052" s="113" t="e">
        <f>SUM(J1052:M1052,R1052:AA1052)</f>
        <v>#N/A</v>
      </c>
      <c r="H1052" s="19" t="e">
        <f>IF(ISBLANK(B1052),0,+#REF!/B1052)</f>
        <v>#REF!</v>
      </c>
      <c r="J1052" s="53">
        <f>IF(ISBLANK(B1052),0,+J$889)</f>
        <v>492.51</v>
      </c>
      <c r="K1052" s="17">
        <f>ROUND($B1052*K$985,2)</f>
        <v>-0.05</v>
      </c>
      <c r="L1052" s="17">
        <f>IF(ISBLANK($C1052),0,IF($C1052&lt;$C$890,ROUND($C$890*$L$985,2),IF($C1052&gt;L$986,ROUND(L$986*L$985,2),ROUND($C1052*L$985,2))))</f>
        <v>29180</v>
      </c>
      <c r="M1052" s="17">
        <f>IF($C1052&gt;L$797,ROUND(($C1052-L$797)*M$796,2),0)</f>
        <v>0</v>
      </c>
      <c r="N1052" s="17">
        <f>K1052</f>
        <v>-0.05</v>
      </c>
      <c r="O1052" s="17"/>
      <c r="P1052" s="17"/>
      <c r="Q1052" s="17">
        <f>SUM(L1052:M1052)</f>
        <v>29180</v>
      </c>
      <c r="R1052" s="16" t="e">
        <f>ROUND(SUM(K1052:M1052)*(R1051-1),2)</f>
        <v>#N/A</v>
      </c>
      <c r="S1052" s="17">
        <f>ROUND($B1052*S$889*S1051,2)</f>
        <v>0</v>
      </c>
      <c r="T1052" s="17">
        <f>ROUND($B1052*T$985,2)</f>
        <v>0</v>
      </c>
      <c r="U1052" s="17">
        <f>ROUND($B1052*U$985,2)</f>
        <v>0</v>
      </c>
      <c r="V1052" s="17">
        <f>ROUND($B1052*V$887,2)</f>
        <v>0</v>
      </c>
      <c r="W1052" s="17">
        <f>ROUND($B1052*W$985,2)</f>
        <v>0</v>
      </c>
      <c r="X1052" s="17">
        <f>ROUND($B1052*X$985,2)</f>
        <v>0</v>
      </c>
      <c r="Y1052" s="17">
        <f>ROUND($B1052*Y$985,2)</f>
        <v>0</v>
      </c>
      <c r="Z1052" s="17">
        <f>ROUND($B1052*Z$985,2)</f>
        <v>0</v>
      </c>
      <c r="AA1052" s="17">
        <f>ROUND($B1052*AA$985,2)</f>
        <v>0</v>
      </c>
      <c r="AB1052" s="19">
        <f>SUM(V1015:AA1015)</f>
        <v>0</v>
      </c>
      <c r="AC1052" s="78" t="str">
        <f>+F1052</f>
        <v>HL42</v>
      </c>
    </row>
    <row r="1053" spans="1:29" ht="13" x14ac:dyDescent="0.3">
      <c r="A1053" s="9"/>
      <c r="B1053" s="111">
        <v>-1</v>
      </c>
      <c r="D1053" s="8"/>
      <c r="E1053" s="9"/>
      <c r="F1053" s="37"/>
      <c r="G1053" s="17"/>
      <c r="H1053" s="19"/>
      <c r="J1053" s="8"/>
      <c r="K1053" s="17"/>
      <c r="L1053" s="17"/>
      <c r="M1053" s="17"/>
      <c r="N1053" s="17"/>
      <c r="O1053" s="17"/>
      <c r="P1053" s="17"/>
      <c r="Q1053" s="17"/>
      <c r="R1053" s="39" t="e">
        <f>VLOOKUP((D1054),'Pwr Factor'!$A$1:$B$52,2)</f>
        <v>#N/A</v>
      </c>
      <c r="S1053" s="51">
        <v>0.25</v>
      </c>
      <c r="T1053" s="17"/>
      <c r="U1053" s="17"/>
      <c r="V1053" s="17"/>
      <c r="W1053" s="17"/>
      <c r="X1053" s="17"/>
      <c r="Y1053" s="17"/>
      <c r="Z1053" s="17"/>
      <c r="AA1053" s="17"/>
    </row>
    <row r="1054" spans="1:29" ht="13" x14ac:dyDescent="0.3">
      <c r="A1054" s="57" t="s">
        <v>158</v>
      </c>
      <c r="B1054" s="111">
        <f>IF(AND('AES Indiana Sep 23 Bill Calc.'!$D$17="HL4",'AES Indiana Sep 23 Bill Calc.'!$D$18="Yes 25%",'AES Indiana Sep 23 Bill Calc.'!$D$20="Yes 2022"),'AES Indiana Sep 23 Bill Calc.'!$D$19,-1)</f>
        <v>-1</v>
      </c>
      <c r="C1054" s="111">
        <f>MAX(E1054,$C$701)</f>
        <v>2000</v>
      </c>
      <c r="D1054" s="111" t="b">
        <f>IF(AND('AES Indiana Sep 23 Bill Calc.'!$D$17="HL4",'AES Indiana Sep 23 Bill Calc.'!$D$18="Yes 25%",'AES Indiana Sep 23 Bill Calc.'!$D$20="Yes 2022"),'AES Indiana Sep 23 Bill Calc.'!$D$22)</f>
        <v>0</v>
      </c>
      <c r="E1054" s="111" t="b">
        <f>IF(AND('AES Indiana Sep 23 Bill Calc.'!$D$17="HL4",'AES Indiana Sep 23 Bill Calc.'!$D$18="Yes 25%",'AES Indiana Sep 23 Bill Calc.'!$D$20="Yes 2022"),'AES Indiana Sep 23 Bill Calc.'!$D$21)</f>
        <v>0</v>
      </c>
      <c r="F1054" s="37" t="s">
        <v>246</v>
      </c>
      <c r="G1054" s="113" t="e">
        <f>SUM(J1054:M1054,R1054:AA1054)</f>
        <v>#N/A</v>
      </c>
      <c r="H1054" s="19" t="e">
        <f>IF(ISBLANK(B1054),0,+#REF!/B1054)</f>
        <v>#REF!</v>
      </c>
      <c r="J1054" s="53">
        <f>IF(ISBLANK(B1054),0,+J$889)</f>
        <v>492.51</v>
      </c>
      <c r="K1054" s="17">
        <f>ROUND($B1054*K$985,2)</f>
        <v>-0.05</v>
      </c>
      <c r="L1054" s="17">
        <f>IF(ISBLANK($C1054),0,IF($C1054&lt;$C$890,ROUND($C$890*$L$985,2),IF($C1054&gt;L$986,ROUND(L$986*L$985,2),ROUND($C1054*L$985,2))))</f>
        <v>29180</v>
      </c>
      <c r="M1054" s="17">
        <f>IF($C1054&gt;L$797,ROUND(($C1054-L$797)*M$796,2),0)</f>
        <v>0</v>
      </c>
      <c r="N1054" s="17">
        <f>K1054</f>
        <v>-0.05</v>
      </c>
      <c r="O1054" s="17"/>
      <c r="P1054" s="17"/>
      <c r="Q1054" s="17">
        <f>SUM(L1054:M1054)</f>
        <v>29180</v>
      </c>
      <c r="R1054" s="16" t="e">
        <f>ROUND(SUM(K1054:M1054)*(R1053-1),2)</f>
        <v>#N/A</v>
      </c>
      <c r="S1054" s="17">
        <f>ROUND($B1054*S$889*S1053,2)</f>
        <v>0</v>
      </c>
      <c r="T1054" s="17">
        <f>ROUND($B1054*T$985,2)</f>
        <v>0</v>
      </c>
      <c r="U1054" s="17">
        <f>ROUND($B1054*U$985,2)</f>
        <v>0</v>
      </c>
      <c r="V1054" s="17">
        <f>ROUND($B1054*V$887,2)</f>
        <v>0</v>
      </c>
      <c r="W1054" s="17">
        <f>ROUND($B1054*W$985,2)</f>
        <v>0</v>
      </c>
      <c r="X1054" s="17">
        <f>ROUND($B1054*X$985,2)</f>
        <v>0</v>
      </c>
      <c r="Y1054" s="17">
        <f>ROUND($B1054*Y$985,2)</f>
        <v>0</v>
      </c>
      <c r="Z1054" s="17">
        <f>ROUND($B1054*Z$985,2)</f>
        <v>0</v>
      </c>
      <c r="AA1054" s="17">
        <f>ROUND($B1054*AA$985,2)</f>
        <v>0</v>
      </c>
      <c r="AB1054" s="19">
        <f>SUM(V1017:AA1017)</f>
        <v>0</v>
      </c>
      <c r="AC1054" s="78" t="str">
        <f>+F1054</f>
        <v>HL42</v>
      </c>
    </row>
    <row r="1055" spans="1:29" ht="13" x14ac:dyDescent="0.3">
      <c r="A1055" s="9"/>
      <c r="B1055" s="111">
        <v>-1</v>
      </c>
      <c r="D1055" s="8"/>
      <c r="E1055" s="9"/>
      <c r="F1055" s="37"/>
      <c r="G1055" s="17"/>
      <c r="H1055" s="19"/>
      <c r="J1055" s="8"/>
      <c r="K1055" s="17"/>
      <c r="L1055" s="17"/>
      <c r="M1055" s="17"/>
      <c r="N1055" s="17"/>
      <c r="O1055" s="17"/>
      <c r="P1055" s="17"/>
      <c r="Q1055" s="17"/>
      <c r="R1055" s="39" t="e">
        <f>VLOOKUP((D1056),'Pwr Factor'!$A$1:$B$52,2)</f>
        <v>#N/A</v>
      </c>
      <c r="S1055" s="51">
        <v>0.1</v>
      </c>
      <c r="T1055" s="17"/>
      <c r="U1055" s="17"/>
      <c r="V1055" s="17"/>
      <c r="W1055" s="17"/>
      <c r="X1055" s="17"/>
      <c r="Y1055" s="17"/>
      <c r="Z1055" s="17"/>
      <c r="AA1055" s="17"/>
    </row>
    <row r="1056" spans="1:29" ht="13" x14ac:dyDescent="0.3">
      <c r="A1056" s="57" t="s">
        <v>173</v>
      </c>
      <c r="B1056" s="111">
        <f>IF(AND('AES Indiana Sep 23 Bill Calc.'!$D$17="HL4",'AES Indiana Sep 23 Bill Calc.'!$D$18="Yes 10%",'AES Indiana Sep 23 Bill Calc.'!$D$20="Yes 2022"),'AES Indiana Sep 23 Bill Calc.'!$D$19,-1)</f>
        <v>-1</v>
      </c>
      <c r="C1056" s="111">
        <f>MAX(E1056,$C$701)</f>
        <v>2000</v>
      </c>
      <c r="D1056" s="111" t="b">
        <f>IF(AND('AES Indiana Sep 23 Bill Calc.'!$D$17="HL4",'AES Indiana Sep 23 Bill Calc.'!$D$18="Yes 10%",'AES Indiana Sep 23 Bill Calc.'!$D$20="Yes 2022"),'AES Indiana Sep 23 Bill Calc.'!$D$22)</f>
        <v>0</v>
      </c>
      <c r="E1056" s="111" t="b">
        <f>IF(AND('AES Indiana Sep 23 Bill Calc.'!$D$17="HL4",'AES Indiana Sep 23 Bill Calc.'!$D$18="Yes 10%",'AES Indiana Sep 23 Bill Calc.'!$D$20="Yes 2022"),'AES Indiana Sep 23 Bill Calc.'!$D$21)</f>
        <v>0</v>
      </c>
      <c r="F1056" s="37" t="s">
        <v>246</v>
      </c>
      <c r="G1056" s="113" t="e">
        <f>SUM(J1056:M1056,R1056:AA1056)</f>
        <v>#N/A</v>
      </c>
      <c r="H1056" s="19" t="e">
        <f>IF(ISBLANK(B1056),0,+#REF!/B1056)</f>
        <v>#REF!</v>
      </c>
      <c r="J1056" s="53">
        <f>IF(ISBLANK(B1056),0,+J$889)</f>
        <v>492.51</v>
      </c>
      <c r="K1056" s="17">
        <f>ROUND($B1056*K$985,2)</f>
        <v>-0.05</v>
      </c>
      <c r="L1056" s="17">
        <f>IF(ISBLANK($C1056),0,IF($C1056&lt;$C$890,ROUND($C$890*$L$985,2),IF($C1056&gt;L$986,ROUND(L$986*L$985,2),ROUND($C1056*L$985,2))))</f>
        <v>29180</v>
      </c>
      <c r="M1056" s="17">
        <f>IF($C1056&gt;L$797,ROUND(($C1056-L$797)*M$796,2),0)</f>
        <v>0</v>
      </c>
      <c r="N1056" s="17">
        <f>K1056</f>
        <v>-0.05</v>
      </c>
      <c r="O1056" s="17"/>
      <c r="P1056" s="17"/>
      <c r="Q1056" s="17">
        <f>SUM(L1056:M1056)</f>
        <v>29180</v>
      </c>
      <c r="R1056" s="16" t="e">
        <f>ROUND(SUM(K1056:M1056)*(R1055-1),2)</f>
        <v>#N/A</v>
      </c>
      <c r="S1056" s="17">
        <f>ROUND($B1056*S$889*S1055,2)</f>
        <v>0</v>
      </c>
      <c r="T1056" s="17">
        <f>ROUND($B1056*T$985,2)</f>
        <v>0</v>
      </c>
      <c r="U1056" s="17">
        <f>ROUND($B1056*U$985,2)</f>
        <v>0</v>
      </c>
      <c r="V1056" s="17">
        <f>ROUND($B1056*V$887,2)</f>
        <v>0</v>
      </c>
      <c r="W1056" s="17">
        <f>ROUND($B1056*W$985,2)</f>
        <v>0</v>
      </c>
      <c r="X1056" s="17">
        <f>ROUND($B1056*X$985,2)</f>
        <v>0</v>
      </c>
      <c r="Y1056" s="17">
        <f>ROUND($B1056*Y$985,2)</f>
        <v>0</v>
      </c>
      <c r="Z1056" s="17">
        <f>ROUND($B1056*Z$985,2)</f>
        <v>0</v>
      </c>
      <c r="AA1056" s="17">
        <f>ROUND($B1056*AA$985,2)</f>
        <v>0</v>
      </c>
      <c r="AB1056" s="19">
        <f>SUM(V1019:AA1019)</f>
        <v>0</v>
      </c>
      <c r="AC1056" s="78" t="str">
        <f>+F1056</f>
        <v>HL42</v>
      </c>
    </row>
    <row r="1057" spans="1:29" ht="13" x14ac:dyDescent="0.3">
      <c r="A1057" s="9"/>
      <c r="B1057" s="111">
        <v>-1</v>
      </c>
      <c r="D1057" s="8"/>
      <c r="E1057" s="9"/>
      <c r="F1057" s="37"/>
      <c r="G1057" s="17"/>
      <c r="H1057" s="19"/>
      <c r="J1057" s="8"/>
      <c r="K1057" s="17"/>
      <c r="L1057" s="17"/>
      <c r="M1057" s="17"/>
      <c r="N1057" s="17"/>
      <c r="O1057" s="17"/>
      <c r="P1057" s="17"/>
      <c r="Q1057" s="17"/>
      <c r="R1057" s="39" t="e">
        <f>VLOOKUP((D1058),'Pwr Factor'!$A$1:$B$52,2)</f>
        <v>#N/A</v>
      </c>
      <c r="S1057" s="51">
        <v>0</v>
      </c>
      <c r="T1057" s="17"/>
      <c r="U1057" s="17"/>
      <c r="V1057" s="17"/>
      <c r="W1057" s="17"/>
      <c r="X1057" s="17"/>
      <c r="Y1057" s="17"/>
      <c r="Z1057" s="17"/>
      <c r="AA1057" s="17"/>
    </row>
    <row r="1058" spans="1:29" ht="13" x14ac:dyDescent="0.3">
      <c r="A1058" s="57" t="s">
        <v>172</v>
      </c>
      <c r="B1058" s="111">
        <f>IF(AND('AES Indiana Sep 23 Bill Calc.'!$D$17="HL4",'AES Indiana Sep 23 Bill Calc.'!$D$18="No",'AES Indiana Sep 23 Bill Calc.'!$D$20="Yes 2022"),'AES Indiana Sep 23 Bill Calc.'!$D$19,-1)</f>
        <v>-1</v>
      </c>
      <c r="C1058" s="111">
        <f>MAX(E1058,$C$701)</f>
        <v>2000</v>
      </c>
      <c r="D1058" s="111" t="b">
        <f>IF(AND('AES Indiana Sep 23 Bill Calc.'!$D$17="HL4",'AES Indiana Sep 23 Bill Calc.'!$D$18="No",'AES Indiana Sep 23 Bill Calc.'!$D$20="Yes 2022"),'AES Indiana Sep 23 Bill Calc.'!$D$22)</f>
        <v>0</v>
      </c>
      <c r="E1058" s="111" t="b">
        <f>IF(AND('AES Indiana Sep 23 Bill Calc.'!$D$17="HL4",'AES Indiana Sep 23 Bill Calc.'!$D$18="No",'AES Indiana Sep 23 Bill Calc.'!$D$20="Yes 2022"),'AES Indiana Sep 23 Bill Calc.'!$D$21)</f>
        <v>0</v>
      </c>
      <c r="F1058" s="37" t="s">
        <v>246</v>
      </c>
      <c r="G1058" s="113" t="e">
        <f>SUM(J1058:M1058,R1058:AA1058)</f>
        <v>#N/A</v>
      </c>
      <c r="H1058" s="19" t="e">
        <f>IF(ISBLANK(B1058),0,+#REF!/B1058)</f>
        <v>#REF!</v>
      </c>
      <c r="J1058" s="53">
        <f>IF(ISBLANK(B1058),0,+J$889)</f>
        <v>492.51</v>
      </c>
      <c r="K1058" s="17">
        <f>ROUND($B1058*K$985,2)</f>
        <v>-0.05</v>
      </c>
      <c r="L1058" s="17">
        <f>IF(ISBLANK($C1058),0,IF($C1058&lt;$C$890,ROUND($C$890*$L$985,2),IF($C1058&gt;L$986,ROUND(L$986*L$985,2),ROUND($C1058*L$985,2))))</f>
        <v>29180</v>
      </c>
      <c r="M1058" s="17">
        <f>IF($C1058&gt;L$797,ROUND(($C1058-L$797)*M$796,2),0)</f>
        <v>0</v>
      </c>
      <c r="N1058" s="17">
        <f>K1058</f>
        <v>-0.05</v>
      </c>
      <c r="O1058" s="17"/>
      <c r="P1058" s="17"/>
      <c r="Q1058" s="17">
        <f>SUM(L1058:M1058)</f>
        <v>29180</v>
      </c>
      <c r="R1058" s="16" t="e">
        <f>ROUND(SUM(K1058:M1058)*(R1057-1),2)</f>
        <v>#N/A</v>
      </c>
      <c r="S1058" s="17">
        <f>ROUND($B1058*S$889*S1057,2)</f>
        <v>0</v>
      </c>
      <c r="T1058" s="17">
        <f>ROUND($B1058*T$985,2)</f>
        <v>0</v>
      </c>
      <c r="U1058" s="17">
        <f>ROUND($B1058*U$985,2)</f>
        <v>0</v>
      </c>
      <c r="V1058" s="17">
        <f>ROUND($B1058*V$887,2)</f>
        <v>0</v>
      </c>
      <c r="W1058" s="17">
        <f>ROUND($B1058*W$985,2)</f>
        <v>0</v>
      </c>
      <c r="X1058" s="17">
        <f>ROUND($B1058*X$985,2)</f>
        <v>0</v>
      </c>
      <c r="Y1058" s="17">
        <f>ROUND($B1058*Y$985,2)</f>
        <v>0</v>
      </c>
      <c r="Z1058" s="17">
        <f>ROUND($B1058*Z$985,2)</f>
        <v>0</v>
      </c>
      <c r="AA1058" s="17">
        <f>ROUND($B1058*AA$985,2)</f>
        <v>0</v>
      </c>
      <c r="AB1058" s="19">
        <f>SUM(V1021:AA1021)</f>
        <v>0</v>
      </c>
      <c r="AC1058" s="78" t="str">
        <f>+F1058</f>
        <v>HL42</v>
      </c>
    </row>
    <row r="1059" spans="1:29" ht="13" x14ac:dyDescent="0.3">
      <c r="B1059" s="111">
        <v>-1</v>
      </c>
      <c r="D1059" s="8"/>
      <c r="E1059" s="9"/>
      <c r="F1059" s="37"/>
      <c r="G1059" s="17"/>
      <c r="H1059" s="19"/>
      <c r="J1059" s="8"/>
      <c r="K1059" s="17"/>
      <c r="L1059" s="17"/>
      <c r="M1059" s="17"/>
      <c r="N1059" s="17"/>
      <c r="O1059" s="17"/>
      <c r="P1059" s="17"/>
      <c r="Q1059" s="17"/>
      <c r="R1059" s="39" t="e">
        <f>VLOOKUP((D1060),'Pwr Factor'!$A$1:$B$52,2)</f>
        <v>#N/A</v>
      </c>
      <c r="S1059" s="51">
        <v>1</v>
      </c>
      <c r="T1059" s="17"/>
      <c r="U1059" s="17"/>
      <c r="V1059" s="17"/>
      <c r="W1059" s="17"/>
      <c r="X1059" s="17"/>
      <c r="Y1059" s="17"/>
      <c r="Z1059" s="17"/>
      <c r="AA1059" s="17"/>
    </row>
    <row r="1060" spans="1:29" ht="13" x14ac:dyDescent="0.3">
      <c r="A1060" s="1" t="s">
        <v>73</v>
      </c>
      <c r="B1060" s="111">
        <f>IF(AND('AES Indiana Sep 23 Bill Calc.'!$D$17="HL4",'AES Indiana Sep 23 Bill Calc.'!$D$18="Yes 100%",'AES Indiana Sep 23 Bill Calc.'!$D$20="Yes 2022"),'AES Indiana Sep 23 Bill Calc.'!$D$19,-1)</f>
        <v>-1</v>
      </c>
      <c r="C1060" s="111">
        <f>MAX(E1060,$C$701)</f>
        <v>2000</v>
      </c>
      <c r="D1060" s="111" t="b">
        <f>IF(AND('AES Indiana Sep 23 Bill Calc.'!$D$17="HL4",'AES Indiana Sep 23 Bill Calc.'!$D$18="Yes 100%",'AES Indiana Sep 23 Bill Calc.'!$D$20="Yes 2022"),'AES Indiana Sep 23 Bill Calc.'!$D$22)</f>
        <v>0</v>
      </c>
      <c r="E1060" s="111" t="b">
        <f>IF(AND('AES Indiana Sep 23 Bill Calc.'!$D$17="HL4",'AES Indiana Sep 23 Bill Calc.'!$D$18="Yes 100%",'AES Indiana Sep 23 Bill Calc.'!$D$20="Yes 2022"),'AES Indiana Sep 23 Bill Calc.'!$D$21)</f>
        <v>0</v>
      </c>
      <c r="F1060" s="37" t="s">
        <v>302</v>
      </c>
      <c r="G1060" s="113" t="e">
        <f>SUM(J1060:M1060,R1060:AA1060)</f>
        <v>#N/A</v>
      </c>
      <c r="H1060" s="19" t="e">
        <f>IF(ISBLANK(B1060),0,+#REF!/B1060)</f>
        <v>#REF!</v>
      </c>
      <c r="J1060" s="53">
        <f>IF(ISBLANK(B1060),0,+J$889)</f>
        <v>492.51</v>
      </c>
      <c r="K1060" s="17">
        <f>ROUND($B1060*K$985,2)</f>
        <v>-0.05</v>
      </c>
      <c r="L1060" s="17">
        <f>IF(ISBLANK($C1060),0,IF($C1060&lt;$C$890,ROUND($C$890*$L$985,2),IF($C1060&gt;L$986,ROUND(L$986*L$985,2),ROUND($C1060*L$985,2))))</f>
        <v>29180</v>
      </c>
      <c r="M1060" s="17">
        <f>IF($C1060&gt;L$797,ROUND(($C1060-L$797)*M$796,2),0)</f>
        <v>0</v>
      </c>
      <c r="N1060" s="17">
        <f>K1060</f>
        <v>-0.05</v>
      </c>
      <c r="O1060" s="17"/>
      <c r="P1060" s="17"/>
      <c r="Q1060" s="17">
        <f>SUM(L1060:M1060)</f>
        <v>29180</v>
      </c>
      <c r="R1060" s="16" t="e">
        <f>ROUND(SUM(K1060:M1060)*(R1059-1),2)</f>
        <v>#N/A</v>
      </c>
      <c r="S1060" s="17">
        <f>ROUND($B1060*S$889*S1059,2)</f>
        <v>0</v>
      </c>
      <c r="T1060" s="17">
        <f>ROUND($B1060*T$985,2)</f>
        <v>0</v>
      </c>
      <c r="U1060" s="17">
        <f>ROUND($B1060*U$985,2)</f>
        <v>0</v>
      </c>
      <c r="V1060" s="17">
        <f>ROUND($B1060*V$887,2)</f>
        <v>0</v>
      </c>
      <c r="W1060" s="17">
        <f>ROUND($B1060*W$985,2)</f>
        <v>0</v>
      </c>
      <c r="X1060" s="17">
        <f>ROUND($B1060*X$985,2)</f>
        <v>0</v>
      </c>
      <c r="Y1060" s="17">
        <f>ROUND($B1060*Y$985,2)</f>
        <v>0</v>
      </c>
      <c r="Z1060" s="17">
        <f>ROUND($B1060*Z$985,2)</f>
        <v>0</v>
      </c>
      <c r="AA1060" s="17">
        <f>ROUND($B1060*AA$985,2)</f>
        <v>0</v>
      </c>
      <c r="AB1060" s="19">
        <f>SUM(V1023:AA1023)</f>
        <v>0</v>
      </c>
      <c r="AC1060" s="78" t="str">
        <f>+F1060</f>
        <v>HL43</v>
      </c>
    </row>
    <row r="1061" spans="1:29" ht="13" x14ac:dyDescent="0.3">
      <c r="A1061" s="49"/>
      <c r="B1061" s="111">
        <v>-1</v>
      </c>
      <c r="D1061" s="8"/>
      <c r="E1061" s="9"/>
      <c r="F1061" s="37"/>
      <c r="G1061" s="17"/>
      <c r="H1061" s="19"/>
      <c r="J1061" s="8"/>
      <c r="K1061" s="17"/>
      <c r="L1061" s="17"/>
      <c r="M1061" s="17"/>
      <c r="N1061" s="17"/>
      <c r="O1061" s="17"/>
      <c r="P1061" s="17"/>
      <c r="Q1061" s="17"/>
      <c r="R1061" s="39" t="e">
        <f>VLOOKUP((D1062),'Pwr Factor'!$A$1:$B$52,2)</f>
        <v>#N/A</v>
      </c>
      <c r="S1061" s="51">
        <v>0.5</v>
      </c>
      <c r="T1061" s="17"/>
      <c r="U1061" s="17"/>
      <c r="V1061" s="17"/>
      <c r="W1061" s="17"/>
      <c r="X1061" s="17"/>
      <c r="Y1061" s="17"/>
      <c r="Z1061" s="17"/>
      <c r="AA1061" s="17"/>
    </row>
    <row r="1062" spans="1:29" ht="13" x14ac:dyDescent="0.3">
      <c r="A1062" s="57" t="s">
        <v>171</v>
      </c>
      <c r="B1062" s="111">
        <f>IF(AND('AES Indiana Sep 23 Bill Calc.'!$D$17="HL4",'AES Indiana Sep 23 Bill Calc.'!$D$18="Yes 50%",'AES Indiana Sep 23 Bill Calc.'!$D$20="Yes 2022"),'AES Indiana Sep 23 Bill Calc.'!$D$19,-1)</f>
        <v>-1</v>
      </c>
      <c r="C1062" s="111">
        <f>MAX(E1062,$C$701)</f>
        <v>2000</v>
      </c>
      <c r="D1062" s="111" t="b">
        <f>IF(AND('AES Indiana Sep 23 Bill Calc.'!$D$17="HL4",'AES Indiana Sep 23 Bill Calc.'!$D$18="Yes 50%",'AES Indiana Sep 23 Bill Calc.'!$D$20="Yes 2022"),'AES Indiana Sep 23 Bill Calc.'!$D$22)</f>
        <v>0</v>
      </c>
      <c r="E1062" s="111" t="b">
        <f>IF(AND('AES Indiana Sep 23 Bill Calc.'!$D$17="HL4",'AES Indiana Sep 23 Bill Calc.'!$D$18="Yes 50%",'AES Indiana Sep 23 Bill Calc.'!$D$20="Yes 2022"),'AES Indiana Sep 23 Bill Calc.'!$D$21)</f>
        <v>0</v>
      </c>
      <c r="F1062" s="37" t="s">
        <v>302</v>
      </c>
      <c r="G1062" s="113" t="e">
        <f>SUM(J1062:M1062,R1062:AA1062)</f>
        <v>#N/A</v>
      </c>
      <c r="H1062" s="19" t="e">
        <f>IF(ISBLANK(B1062),0,+#REF!/B1062)</f>
        <v>#REF!</v>
      </c>
      <c r="J1062" s="53">
        <f>IF(ISBLANK(B1062),0,+J$889)</f>
        <v>492.51</v>
      </c>
      <c r="K1062" s="17">
        <f>ROUND($B1062*K$985,2)</f>
        <v>-0.05</v>
      </c>
      <c r="L1062" s="17">
        <f>IF(ISBLANK($C1062),0,IF($C1062&lt;$C$890,ROUND($C$890*$L$985,2),IF($C1062&gt;L$986,ROUND(L$986*L$985,2),ROUND($C1062*L$985,2))))</f>
        <v>29180</v>
      </c>
      <c r="M1062" s="17">
        <f>IF($C1062&gt;L$797,ROUND(($C1062-L$797)*M$796,2),0)</f>
        <v>0</v>
      </c>
      <c r="N1062" s="17">
        <f>K1062</f>
        <v>-0.05</v>
      </c>
      <c r="O1062" s="17"/>
      <c r="P1062" s="17"/>
      <c r="Q1062" s="17">
        <f>SUM(L1062:M1062)</f>
        <v>29180</v>
      </c>
      <c r="R1062" s="16" t="e">
        <f>ROUND(SUM(K1062:M1062)*(R1061-1),2)</f>
        <v>#N/A</v>
      </c>
      <c r="S1062" s="17">
        <f>ROUND($B1062*S$889*S1061,2)</f>
        <v>0</v>
      </c>
      <c r="T1062" s="17">
        <f>ROUND($B1062*T$985,2)</f>
        <v>0</v>
      </c>
      <c r="U1062" s="17">
        <f>ROUND($B1062*U$985,2)</f>
        <v>0</v>
      </c>
      <c r="V1062" s="17">
        <f>ROUND($B1062*V$887,2)</f>
        <v>0</v>
      </c>
      <c r="W1062" s="17">
        <f>ROUND($B1062*W$985,2)</f>
        <v>0</v>
      </c>
      <c r="X1062" s="17">
        <f>ROUND($B1062*X$985,2)</f>
        <v>0</v>
      </c>
      <c r="Y1062" s="17">
        <f>ROUND($B1062*Y$985,2)</f>
        <v>0</v>
      </c>
      <c r="Z1062" s="17">
        <f>ROUND($B1062*Z$985,2)</f>
        <v>0</v>
      </c>
      <c r="AA1062" s="17">
        <f>ROUND($B1062*AA$985,2)</f>
        <v>0</v>
      </c>
      <c r="AB1062" s="19">
        <f>SUM(V1025:AA1025)</f>
        <v>0</v>
      </c>
      <c r="AC1062" s="78" t="str">
        <f>+F1062</f>
        <v>HL43</v>
      </c>
    </row>
    <row r="1063" spans="1:29" ht="13" x14ac:dyDescent="0.3">
      <c r="A1063" s="9"/>
      <c r="B1063" s="111">
        <v>-1</v>
      </c>
      <c r="D1063" s="8"/>
      <c r="E1063" s="9"/>
      <c r="F1063" s="37"/>
      <c r="G1063" s="17"/>
      <c r="H1063" s="19"/>
      <c r="J1063" s="8"/>
      <c r="K1063" s="17"/>
      <c r="L1063" s="17"/>
      <c r="M1063" s="17"/>
      <c r="N1063" s="17"/>
      <c r="O1063" s="17"/>
      <c r="P1063" s="17"/>
      <c r="Q1063" s="17"/>
      <c r="R1063" s="39" t="e">
        <f>VLOOKUP((D1064),'Pwr Factor'!$A$1:$B$52,2)</f>
        <v>#N/A</v>
      </c>
      <c r="S1063" s="51">
        <v>0.25</v>
      </c>
      <c r="T1063" s="17"/>
      <c r="U1063" s="17"/>
      <c r="V1063" s="17"/>
      <c r="W1063" s="17"/>
      <c r="X1063" s="17"/>
      <c r="Y1063" s="17"/>
      <c r="Z1063" s="17"/>
      <c r="AA1063" s="17"/>
    </row>
    <row r="1064" spans="1:29" ht="13" x14ac:dyDescent="0.3">
      <c r="A1064" s="57" t="s">
        <v>158</v>
      </c>
      <c r="B1064" s="111">
        <f>IF(AND('AES Indiana Sep 23 Bill Calc.'!$D$17="HL4",'AES Indiana Sep 23 Bill Calc.'!$D$18="Yes 25%",'AES Indiana Sep 23 Bill Calc.'!$D$20="Yes 2022"),'AES Indiana Sep 23 Bill Calc.'!$D$19,-1)</f>
        <v>-1</v>
      </c>
      <c r="C1064" s="111">
        <f>MAX(E1064,$C$701)</f>
        <v>2000</v>
      </c>
      <c r="D1064" s="111" t="b">
        <f>IF(AND('AES Indiana Sep 23 Bill Calc.'!$D$17="HL4",'AES Indiana Sep 23 Bill Calc.'!$D$18="Yes 25%",'AES Indiana Sep 23 Bill Calc.'!$D$20="Yes 2022"),'AES Indiana Sep 23 Bill Calc.'!$D$22)</f>
        <v>0</v>
      </c>
      <c r="E1064" s="111" t="b">
        <f>IF(AND('AES Indiana Sep 23 Bill Calc.'!$D$17="HL4",'AES Indiana Sep 23 Bill Calc.'!$D$18="Yes 25%",'AES Indiana Sep 23 Bill Calc.'!$D$20="Yes 2022"),'AES Indiana Sep 23 Bill Calc.'!$D$21)</f>
        <v>0</v>
      </c>
      <c r="F1064" s="37" t="s">
        <v>302</v>
      </c>
      <c r="G1064" s="113" t="e">
        <f>SUM(J1064:M1064,R1064:AA1064)</f>
        <v>#N/A</v>
      </c>
      <c r="H1064" s="19" t="e">
        <f>IF(ISBLANK(B1064),0,+#REF!/B1064)</f>
        <v>#REF!</v>
      </c>
      <c r="J1064" s="53">
        <f>IF(ISBLANK(B1064),0,+J$889)</f>
        <v>492.51</v>
      </c>
      <c r="K1064" s="17">
        <f>ROUND($B1064*K$985,2)</f>
        <v>-0.05</v>
      </c>
      <c r="L1064" s="17">
        <f>IF(ISBLANK($C1064),0,IF($C1064&lt;$C$890,ROUND($C$890*$L$985,2),IF($C1064&gt;L$986,ROUND(L$986*L$985,2),ROUND($C1064*L$985,2))))</f>
        <v>29180</v>
      </c>
      <c r="M1064" s="17">
        <f>IF($C1064&gt;L$797,ROUND(($C1064-L$797)*M$796,2),0)</f>
        <v>0</v>
      </c>
      <c r="N1064" s="17">
        <f>K1064</f>
        <v>-0.05</v>
      </c>
      <c r="O1064" s="17"/>
      <c r="P1064" s="17"/>
      <c r="Q1064" s="17">
        <f>SUM(L1064:M1064)</f>
        <v>29180</v>
      </c>
      <c r="R1064" s="16" t="e">
        <f>ROUND(SUM(K1064:M1064)*(R1063-1),2)</f>
        <v>#N/A</v>
      </c>
      <c r="S1064" s="17">
        <f>ROUND($B1064*S$889*S1063,2)</f>
        <v>0</v>
      </c>
      <c r="T1064" s="17">
        <f>ROUND($B1064*T$985,2)</f>
        <v>0</v>
      </c>
      <c r="U1064" s="17">
        <f>ROUND($B1064*U$985,2)</f>
        <v>0</v>
      </c>
      <c r="V1064" s="17">
        <f>ROUND($B1064*V$887,2)</f>
        <v>0</v>
      </c>
      <c r="W1064" s="17">
        <f>ROUND($B1064*W$985,2)</f>
        <v>0</v>
      </c>
      <c r="X1064" s="17">
        <f>ROUND($B1064*X$985,2)</f>
        <v>0</v>
      </c>
      <c r="Y1064" s="17">
        <f>ROUND($B1064*Y$985,2)</f>
        <v>0</v>
      </c>
      <c r="Z1064" s="17">
        <f>ROUND($B1064*Z$985,2)</f>
        <v>0</v>
      </c>
      <c r="AA1064" s="17">
        <f>ROUND($B1064*AA$985,2)</f>
        <v>0</v>
      </c>
      <c r="AB1064" s="19">
        <f>SUM(V1027:AA1027)</f>
        <v>0</v>
      </c>
      <c r="AC1064" s="78" t="str">
        <f>+F1064</f>
        <v>HL43</v>
      </c>
    </row>
    <row r="1065" spans="1:29" ht="13" x14ac:dyDescent="0.3">
      <c r="A1065" s="9"/>
      <c r="B1065" s="111">
        <v>-1</v>
      </c>
      <c r="D1065" s="8"/>
      <c r="E1065" s="9"/>
      <c r="F1065" s="37"/>
      <c r="G1065" s="17"/>
      <c r="H1065" s="19"/>
      <c r="J1065" s="8"/>
      <c r="K1065" s="17"/>
      <c r="L1065" s="17"/>
      <c r="M1065" s="17"/>
      <c r="N1065" s="17"/>
      <c r="O1065" s="17"/>
      <c r="P1065" s="17"/>
      <c r="Q1065" s="17"/>
      <c r="R1065" s="39" t="e">
        <f>VLOOKUP((D1066),'Pwr Factor'!$A$1:$B$52,2)</f>
        <v>#N/A</v>
      </c>
      <c r="S1065" s="51">
        <v>0.1</v>
      </c>
      <c r="T1065" s="17"/>
      <c r="U1065" s="17"/>
      <c r="V1065" s="17"/>
      <c r="W1065" s="17"/>
      <c r="X1065" s="17"/>
      <c r="Y1065" s="17"/>
      <c r="Z1065" s="17"/>
      <c r="AA1065" s="17"/>
    </row>
    <row r="1066" spans="1:29" ht="13" x14ac:dyDescent="0.3">
      <c r="A1066" s="57" t="s">
        <v>173</v>
      </c>
      <c r="B1066" s="111">
        <f>IF(AND('AES Indiana Sep 23 Bill Calc.'!$D$17="HL4",'AES Indiana Sep 23 Bill Calc.'!$D$18="Yes 10%",'AES Indiana Sep 23 Bill Calc.'!$D$20="Yes 2022"),'AES Indiana Sep 23 Bill Calc.'!$D$19,-1)</f>
        <v>-1</v>
      </c>
      <c r="C1066" s="111">
        <f>MAX(E1066,$C$701)</f>
        <v>2000</v>
      </c>
      <c r="D1066" s="111" t="b">
        <f>IF(AND('AES Indiana Sep 23 Bill Calc.'!$D$17="HL4",'AES Indiana Sep 23 Bill Calc.'!$D$18="Yes 10%",'AES Indiana Sep 23 Bill Calc.'!$D$20="Yes 2022"),'AES Indiana Sep 23 Bill Calc.'!$D$22)</f>
        <v>0</v>
      </c>
      <c r="E1066" s="111" t="b">
        <f>IF(AND('AES Indiana Sep 23 Bill Calc.'!$D$17="HL4",'AES Indiana Sep 23 Bill Calc.'!$D$18="Yes 10%",'AES Indiana Sep 23 Bill Calc.'!$D$20="Yes 2022"),'AES Indiana Sep 23 Bill Calc.'!$D$21)</f>
        <v>0</v>
      </c>
      <c r="F1066" s="37" t="s">
        <v>302</v>
      </c>
      <c r="G1066" s="113" t="e">
        <f>SUM(J1066:M1066,R1066:AA1066)</f>
        <v>#N/A</v>
      </c>
      <c r="H1066" s="19" t="e">
        <f>IF(ISBLANK(B1066),0,+#REF!/B1066)</f>
        <v>#REF!</v>
      </c>
      <c r="J1066" s="53">
        <f>IF(ISBLANK(B1066),0,+J$889)</f>
        <v>492.51</v>
      </c>
      <c r="K1066" s="17">
        <f>ROUND($B1066*K$985,2)</f>
        <v>-0.05</v>
      </c>
      <c r="L1066" s="17">
        <f>IF(ISBLANK($C1066),0,IF($C1066&lt;$C$890,ROUND($C$890*$L$985,2),IF($C1066&gt;L$986,ROUND(L$986*L$985,2),ROUND($C1066*L$985,2))))</f>
        <v>29180</v>
      </c>
      <c r="M1066" s="17">
        <f>IF($C1066&gt;L$797,ROUND(($C1066-L$797)*M$796,2),0)</f>
        <v>0</v>
      </c>
      <c r="N1066" s="17">
        <f>K1066</f>
        <v>-0.05</v>
      </c>
      <c r="O1066" s="17"/>
      <c r="P1066" s="17"/>
      <c r="Q1066" s="17">
        <f>SUM(L1066:M1066)</f>
        <v>29180</v>
      </c>
      <c r="R1066" s="16" t="e">
        <f>ROUND(SUM(K1066:M1066)*(R1065-1),2)</f>
        <v>#N/A</v>
      </c>
      <c r="S1066" s="17">
        <f>ROUND($B1066*S$889*S1065,2)</f>
        <v>0</v>
      </c>
      <c r="T1066" s="17">
        <f>ROUND($B1066*T$985,2)</f>
        <v>0</v>
      </c>
      <c r="U1066" s="17">
        <f>ROUND($B1066*U$985,2)</f>
        <v>0</v>
      </c>
      <c r="V1066" s="17">
        <f>ROUND($B1066*V$887,2)</f>
        <v>0</v>
      </c>
      <c r="W1066" s="17">
        <f>ROUND($B1066*W$985,2)</f>
        <v>0</v>
      </c>
      <c r="X1066" s="17">
        <f>ROUND($B1066*X$985,2)</f>
        <v>0</v>
      </c>
      <c r="Y1066" s="17">
        <f>ROUND($B1066*Y$985,2)</f>
        <v>0</v>
      </c>
      <c r="Z1066" s="17">
        <f>ROUND($B1066*Z$985,2)</f>
        <v>0</v>
      </c>
      <c r="AA1066" s="17">
        <f>ROUND($B1066*AA$985,2)</f>
        <v>0</v>
      </c>
      <c r="AB1066" s="19">
        <f>SUM(V1029:AA1029)</f>
        <v>0</v>
      </c>
      <c r="AC1066" s="78" t="str">
        <f>+F1066</f>
        <v>HL43</v>
      </c>
    </row>
    <row r="1067" spans="1:29" ht="13" x14ac:dyDescent="0.3">
      <c r="A1067" s="9"/>
      <c r="B1067" s="111">
        <v>-1</v>
      </c>
      <c r="D1067" s="8"/>
      <c r="E1067" s="9"/>
      <c r="F1067" s="37"/>
      <c r="G1067" s="17"/>
      <c r="H1067" s="19"/>
      <c r="J1067" s="8"/>
      <c r="K1067" s="17"/>
      <c r="L1067" s="17"/>
      <c r="M1067" s="17"/>
      <c r="N1067" s="17"/>
      <c r="O1067" s="17"/>
      <c r="P1067" s="17"/>
      <c r="Q1067" s="17"/>
      <c r="R1067" s="39" t="e">
        <f>VLOOKUP((D1068),'Pwr Factor'!$A$1:$B$52,2)</f>
        <v>#N/A</v>
      </c>
      <c r="S1067" s="51">
        <v>0</v>
      </c>
      <c r="T1067" s="17"/>
      <c r="U1067" s="17"/>
      <c r="V1067" s="17"/>
      <c r="W1067" s="17"/>
      <c r="X1067" s="17"/>
      <c r="Y1067" s="17"/>
      <c r="Z1067" s="17"/>
      <c r="AA1067" s="17"/>
    </row>
    <row r="1068" spans="1:29" ht="13" x14ac:dyDescent="0.3">
      <c r="A1068" s="57" t="s">
        <v>172</v>
      </c>
      <c r="B1068" s="111">
        <f>IF(AND('AES Indiana Sep 23 Bill Calc.'!$D$17="HL4",'AES Indiana Sep 23 Bill Calc.'!$D$18="No",'AES Indiana Sep 23 Bill Calc.'!$D$20="Yes 2022"),'AES Indiana Sep 23 Bill Calc.'!$D$19,-1)</f>
        <v>-1</v>
      </c>
      <c r="C1068" s="111">
        <f>MAX(E1068,$C$701)</f>
        <v>2000</v>
      </c>
      <c r="D1068" s="111" t="b">
        <f>IF(AND('AES Indiana Sep 23 Bill Calc.'!$D$17="HL4",'AES Indiana Sep 23 Bill Calc.'!$D$18="No",'AES Indiana Sep 23 Bill Calc.'!$D$20="Yes 2022"),'AES Indiana Sep 23 Bill Calc.'!$D$22)</f>
        <v>0</v>
      </c>
      <c r="E1068" s="111" t="b">
        <f>IF(AND('AES Indiana Sep 23 Bill Calc.'!$D$17="HL4",'AES Indiana Sep 23 Bill Calc.'!$D$18="No",'AES Indiana Sep 23 Bill Calc.'!$D$20="Yes 2022"),'AES Indiana Sep 23 Bill Calc.'!$D$21)</f>
        <v>0</v>
      </c>
      <c r="F1068" s="37" t="s">
        <v>302</v>
      </c>
      <c r="G1068" s="113" t="e">
        <f>SUM(J1068:M1068,R1068:AA1068)</f>
        <v>#N/A</v>
      </c>
      <c r="H1068" s="19" t="e">
        <f>IF(ISBLANK(B1068),0,+#REF!/B1068)</f>
        <v>#REF!</v>
      </c>
      <c r="J1068" s="53">
        <f>IF(ISBLANK(B1068),0,+J$889)</f>
        <v>492.51</v>
      </c>
      <c r="K1068" s="17">
        <f>ROUND($B1068*K$985,2)</f>
        <v>-0.05</v>
      </c>
      <c r="L1068" s="17">
        <f>IF(ISBLANK($C1068),0,IF($C1068&lt;$C$890,ROUND($C$890*$L$985,2),IF($C1068&gt;L$986,ROUND(L$986*L$985,2),ROUND($C1068*L$985,2))))</f>
        <v>29180</v>
      </c>
      <c r="M1068" s="17">
        <f>IF($C1068&gt;L$797,ROUND(($C1068-L$797)*M$796,2),0)</f>
        <v>0</v>
      </c>
      <c r="N1068" s="17">
        <f>K1068</f>
        <v>-0.05</v>
      </c>
      <c r="O1068" s="17"/>
      <c r="P1068" s="17"/>
      <c r="Q1068" s="17">
        <f>SUM(L1068:M1068)</f>
        <v>29180</v>
      </c>
      <c r="R1068" s="16" t="e">
        <f>ROUND(SUM(K1068:M1068)*(R1067-1),2)</f>
        <v>#N/A</v>
      </c>
      <c r="S1068" s="17">
        <f>ROUND($B1068*S$889*S1067,2)</f>
        <v>0</v>
      </c>
      <c r="T1068" s="17">
        <f>ROUND($B1068*T$985,2)</f>
        <v>0</v>
      </c>
      <c r="U1068" s="17">
        <f>ROUND($B1068*U$985,2)</f>
        <v>0</v>
      </c>
      <c r="V1068" s="17">
        <f>ROUND($B1068*V$887,2)</f>
        <v>0</v>
      </c>
      <c r="W1068" s="17">
        <f>ROUND($B1068*W$985,2)</f>
        <v>0</v>
      </c>
      <c r="X1068" s="17">
        <f>ROUND($B1068*X$985,2)</f>
        <v>0</v>
      </c>
      <c r="Y1068" s="17">
        <f>ROUND($B1068*Y$985,2)</f>
        <v>0</v>
      </c>
      <c r="Z1068" s="17">
        <f>ROUND($B1068*Z$985,2)</f>
        <v>0</v>
      </c>
      <c r="AA1068" s="17">
        <f>ROUND($B1068*AA$985,2)</f>
        <v>0</v>
      </c>
      <c r="AB1068" s="19">
        <f>SUM(V1031:AA1031)</f>
        <v>0</v>
      </c>
      <c r="AC1068" s="78" t="str">
        <f>+F1068</f>
        <v>HL43</v>
      </c>
    </row>
    <row r="1069" spans="1:29" ht="13.5" thickBot="1" x14ac:dyDescent="0.35">
      <c r="A1069" s="21"/>
      <c r="B1069" s="121">
        <v>-1</v>
      </c>
      <c r="C1069" s="131"/>
      <c r="D1069" s="136"/>
      <c r="E1069" s="21"/>
      <c r="F1069" s="21"/>
      <c r="G1069" s="116"/>
      <c r="H1069" s="25"/>
      <c r="I1069" s="21"/>
      <c r="J1069" s="137"/>
      <c r="K1069" s="116"/>
      <c r="L1069" s="116"/>
      <c r="M1069" s="116"/>
      <c r="N1069" s="116"/>
      <c r="O1069" s="116"/>
      <c r="P1069" s="116"/>
      <c r="Q1069" s="116"/>
      <c r="R1069" s="138"/>
      <c r="S1069" s="116"/>
      <c r="T1069" s="116"/>
      <c r="U1069" s="116"/>
      <c r="V1069" s="116"/>
      <c r="W1069" s="116"/>
      <c r="X1069" s="116"/>
      <c r="Y1069" s="116"/>
      <c r="Z1069" s="116"/>
      <c r="AA1069" s="116"/>
      <c r="AB1069" s="25"/>
      <c r="AC1069" s="139"/>
    </row>
    <row r="1070" spans="1:29" x14ac:dyDescent="0.25">
      <c r="B1070" s="111"/>
    </row>
    <row r="1071" spans="1:29" x14ac:dyDescent="0.25">
      <c r="B1071" s="111"/>
    </row>
    <row r="1072" spans="1:29" x14ac:dyDescent="0.25">
      <c r="A1072" s="12"/>
      <c r="B1072" s="97"/>
      <c r="C1072" s="12"/>
      <c r="D1072" s="12"/>
      <c r="F1072" s="12"/>
      <c r="G1072" s="12"/>
      <c r="H1072" s="12"/>
      <c r="I1072" s="144"/>
      <c r="J1072" s="12"/>
      <c r="K1072" s="12"/>
      <c r="L1072" s="12"/>
      <c r="M1072" s="12"/>
      <c r="N1072" s="12"/>
      <c r="O1072" s="12"/>
      <c r="P1072" s="12"/>
      <c r="Q1072" s="12"/>
      <c r="R1072" s="12"/>
      <c r="S1072" s="12"/>
      <c r="T1072" s="12"/>
      <c r="U1072" s="73"/>
      <c r="V1072" s="73"/>
      <c r="W1072" s="73"/>
      <c r="X1072" s="261"/>
      <c r="Y1072" s="261"/>
    </row>
    <row r="1073" spans="1:25" x14ac:dyDescent="0.25">
      <c r="A1073" s="12"/>
      <c r="B1073" s="97"/>
      <c r="C1073" s="12"/>
      <c r="D1073" s="12"/>
      <c r="F1073" s="12"/>
      <c r="G1073" s="12"/>
      <c r="J1073" s="12"/>
      <c r="K1073" s="12"/>
      <c r="L1073" s="12"/>
      <c r="M1073" s="12"/>
      <c r="N1073" s="12"/>
      <c r="O1073" s="12"/>
      <c r="P1073" s="12"/>
      <c r="Q1073" s="12"/>
      <c r="R1073" s="12"/>
      <c r="S1073" s="12"/>
      <c r="T1073" s="12"/>
      <c r="U1073" s="12"/>
      <c r="V1073" s="12"/>
      <c r="W1073" s="12"/>
      <c r="X1073" s="98"/>
      <c r="Y1073" s="98"/>
    </row>
    <row r="1074" spans="1:25" ht="13" x14ac:dyDescent="0.3">
      <c r="A1074" s="100"/>
      <c r="B1074" s="105"/>
      <c r="C1074" s="37"/>
      <c r="D1074" s="43"/>
      <c r="F1074" s="18"/>
      <c r="G1074" s="42"/>
      <c r="H1074" s="99"/>
      <c r="I1074" s="96"/>
      <c r="J1074" s="18"/>
      <c r="K1074" s="18"/>
      <c r="L1074" s="18"/>
      <c r="M1074" s="18"/>
      <c r="N1074" s="18"/>
      <c r="O1074" s="18"/>
      <c r="P1074" s="18"/>
      <c r="Q1074" s="18"/>
      <c r="R1074" s="18"/>
      <c r="S1074" s="18"/>
      <c r="T1074" s="18"/>
      <c r="U1074" s="18"/>
      <c r="V1074" s="18"/>
      <c r="W1074" s="18"/>
      <c r="X1074" s="262"/>
      <c r="Y1074" s="262"/>
    </row>
    <row r="1075" spans="1:25" ht="13" x14ac:dyDescent="0.3">
      <c r="A1075" s="100"/>
      <c r="B1075" s="105"/>
      <c r="C1075" s="37"/>
      <c r="D1075" s="43"/>
      <c r="F1075" s="18"/>
      <c r="G1075" s="42"/>
      <c r="H1075" s="99"/>
      <c r="I1075" s="96"/>
      <c r="J1075" s="18"/>
      <c r="K1075" s="18"/>
      <c r="L1075" s="18"/>
      <c r="M1075" s="18"/>
      <c r="N1075" s="18"/>
      <c r="O1075" s="18"/>
      <c r="P1075" s="18"/>
      <c r="Q1075" s="18"/>
      <c r="R1075" s="18"/>
      <c r="S1075" s="18"/>
      <c r="T1075" s="18"/>
      <c r="U1075" s="18"/>
      <c r="V1075" s="18"/>
      <c r="W1075" s="18"/>
      <c r="X1075" s="102"/>
      <c r="Y1075" s="102"/>
    </row>
    <row r="1076" spans="1:25" ht="13" x14ac:dyDescent="0.3">
      <c r="A1076" s="100"/>
      <c r="B1076" s="105"/>
      <c r="C1076" s="37"/>
      <c r="D1076" s="43"/>
      <c r="F1076" s="18"/>
      <c r="G1076" s="42"/>
      <c r="H1076" s="99"/>
      <c r="I1076" s="96"/>
      <c r="J1076" s="18"/>
      <c r="K1076" s="18"/>
      <c r="L1076" s="18"/>
      <c r="M1076" s="18"/>
      <c r="N1076" s="18"/>
      <c r="O1076" s="18"/>
      <c r="P1076" s="18"/>
      <c r="Q1076" s="18"/>
      <c r="R1076" s="18"/>
      <c r="S1076" s="18"/>
      <c r="T1076" s="18"/>
      <c r="U1076" s="18"/>
      <c r="V1076" s="18"/>
      <c r="W1076" s="18"/>
      <c r="X1076" s="102"/>
      <c r="Y1076" s="102"/>
    </row>
    <row r="1077" spans="1:25" x14ac:dyDescent="0.25">
      <c r="B1077" s="41"/>
      <c r="C1077" s="41"/>
      <c r="X1077" s="260"/>
      <c r="Y1077" s="260"/>
    </row>
    <row r="1078" spans="1:25" x14ac:dyDescent="0.25">
      <c r="B1078" s="41"/>
      <c r="C1078" s="41"/>
    </row>
  </sheetData>
  <mergeCells count="19">
    <mergeCell ref="B2:E2"/>
    <mergeCell ref="X1077:Y1077"/>
    <mergeCell ref="X1072:Y1072"/>
    <mergeCell ref="X1074:Y1074"/>
    <mergeCell ref="L987:M987"/>
    <mergeCell ref="K403:L403"/>
    <mergeCell ref="L519:M519"/>
    <mergeCell ref="K610:L610"/>
    <mergeCell ref="L704:M704"/>
    <mergeCell ref="L798:M798"/>
    <mergeCell ref="L891:M891"/>
    <mergeCell ref="K187:L187"/>
    <mergeCell ref="K282:L282"/>
    <mergeCell ref="K369:L369"/>
    <mergeCell ref="K387:L387"/>
    <mergeCell ref="K40:L40"/>
    <mergeCell ref="K56:M56"/>
    <mergeCell ref="K70:M70"/>
    <mergeCell ref="K92:L92"/>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271" max="16383" man="1"/>
    <brk id="49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E51" sqref="E51"/>
    </sheetView>
  </sheetViews>
  <sheetFormatPr defaultRowHeight="12.5" x14ac:dyDescent="0.25"/>
  <cols>
    <col min="1" max="1" width="12" bestFit="1" customWidth="1"/>
    <col min="2" max="2" width="9.54296875" bestFit="1" customWidth="1"/>
  </cols>
  <sheetData>
    <row r="1" spans="1:2" x14ac:dyDescent="0.25">
      <c r="A1" t="s">
        <v>49</v>
      </c>
      <c r="B1" s="1" t="s">
        <v>50</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3"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E51" sqref="E51"/>
      <selection pane="topRight" activeCell="E51" sqref="E51"/>
      <selection pane="bottomLeft" activeCell="E51" sqref="E51"/>
      <selection pane="bottomRight" activeCell="E51" sqref="E51"/>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40"/>
      <c r="B2" s="40"/>
      <c r="C2" s="40">
        <v>2007</v>
      </c>
      <c r="D2" s="40"/>
      <c r="L2">
        <v>2008</v>
      </c>
      <c r="M2" t="s">
        <v>65</v>
      </c>
      <c r="O2">
        <v>2008</v>
      </c>
      <c r="P2" t="s">
        <v>66</v>
      </c>
      <c r="R2">
        <v>2008</v>
      </c>
      <c r="S2" t="s">
        <v>67</v>
      </c>
      <c r="U2">
        <v>2008</v>
      </c>
      <c r="V2" t="s">
        <v>68</v>
      </c>
      <c r="X2" s="10">
        <v>2009</v>
      </c>
      <c r="Y2" t="s">
        <v>65</v>
      </c>
      <c r="AA2">
        <f>+X2</f>
        <v>2009</v>
      </c>
      <c r="AB2" t="s">
        <v>66</v>
      </c>
      <c r="AD2">
        <f>+AA2</f>
        <v>2009</v>
      </c>
      <c r="AE2" t="s">
        <v>67</v>
      </c>
      <c r="AG2">
        <f>+AD2</f>
        <v>2009</v>
      </c>
      <c r="AH2" t="s">
        <v>68</v>
      </c>
      <c r="AJ2" s="60"/>
      <c r="AK2" s="61">
        <v>2015</v>
      </c>
      <c r="AL2" s="61" t="s">
        <v>82</v>
      </c>
      <c r="AM2" s="62"/>
      <c r="AN2" s="60"/>
      <c r="AO2" s="61">
        <v>2015</v>
      </c>
      <c r="AP2" s="61" t="s">
        <v>83</v>
      </c>
      <c r="AQ2" s="62"/>
      <c r="AR2" s="60"/>
      <c r="AS2" s="61">
        <v>2015</v>
      </c>
      <c r="AT2" s="61" t="s">
        <v>84</v>
      </c>
      <c r="AU2" s="62"/>
      <c r="AV2" s="60"/>
      <c r="AW2" s="61">
        <v>2015</v>
      </c>
      <c r="AX2" s="61" t="s">
        <v>85</v>
      </c>
      <c r="AY2" s="62"/>
      <c r="AZ2" s="60"/>
      <c r="BA2" s="61">
        <v>2015</v>
      </c>
      <c r="BB2" s="61" t="s">
        <v>86</v>
      </c>
      <c r="BC2" s="62"/>
      <c r="BD2" s="60"/>
      <c r="BE2" s="61">
        <v>2015</v>
      </c>
      <c r="BF2" s="61" t="s">
        <v>87</v>
      </c>
      <c r="BG2" s="62"/>
      <c r="BH2" s="60"/>
      <c r="BI2" s="61">
        <v>2015</v>
      </c>
      <c r="BJ2" s="61" t="s">
        <v>68</v>
      </c>
      <c r="BK2" s="62"/>
      <c r="BL2" s="60"/>
      <c r="BM2" s="61">
        <v>2016</v>
      </c>
      <c r="BN2" s="61" t="s">
        <v>88</v>
      </c>
      <c r="BO2" s="62"/>
      <c r="BP2" s="60"/>
      <c r="BQ2" s="61">
        <v>2016</v>
      </c>
      <c r="BR2" s="61" t="s">
        <v>89</v>
      </c>
      <c r="BS2" s="62"/>
      <c r="BT2" s="60"/>
      <c r="BU2" s="61">
        <v>2016</v>
      </c>
      <c r="BV2" s="61" t="s">
        <v>90</v>
      </c>
      <c r="BW2" s="62"/>
      <c r="BX2" s="60"/>
      <c r="BY2" s="79">
        <v>2016</v>
      </c>
      <c r="BZ2" s="61" t="s">
        <v>102</v>
      </c>
      <c r="CA2" s="62"/>
      <c r="CB2" s="60"/>
      <c r="CC2" s="79">
        <v>2016</v>
      </c>
      <c r="CD2" s="61" t="s">
        <v>103</v>
      </c>
      <c r="CE2" s="62"/>
      <c r="CF2" s="60"/>
      <c r="CG2" s="79">
        <v>2016</v>
      </c>
      <c r="CH2" s="61" t="s">
        <v>82</v>
      </c>
      <c r="CI2" s="62"/>
      <c r="CJ2" s="60"/>
      <c r="CK2" s="79">
        <v>2016</v>
      </c>
      <c r="CL2" s="61" t="s">
        <v>83</v>
      </c>
      <c r="CM2" s="62"/>
      <c r="CN2" s="60"/>
      <c r="CO2" s="79">
        <v>2016</v>
      </c>
      <c r="CP2" s="61" t="s">
        <v>84</v>
      </c>
      <c r="CQ2" s="62"/>
      <c r="CR2" s="60"/>
      <c r="CS2" s="79">
        <v>2016</v>
      </c>
      <c r="CT2" s="61" t="s">
        <v>67</v>
      </c>
      <c r="CU2" s="62"/>
      <c r="CV2" s="60"/>
      <c r="CW2" s="79">
        <v>2016</v>
      </c>
      <c r="CX2" s="61" t="s">
        <v>86</v>
      </c>
      <c r="CY2" s="62"/>
      <c r="CZ2" s="60"/>
      <c r="DA2" s="79">
        <v>2016</v>
      </c>
      <c r="DB2" s="61" t="s">
        <v>87</v>
      </c>
      <c r="DC2" s="62"/>
      <c r="DD2" s="60"/>
      <c r="DE2" s="79">
        <v>2016</v>
      </c>
      <c r="DF2" s="61" t="s">
        <v>68</v>
      </c>
      <c r="DG2" s="62"/>
      <c r="DH2" s="60"/>
      <c r="DI2" s="79">
        <v>2017</v>
      </c>
      <c r="DJ2" s="61" t="s">
        <v>88</v>
      </c>
      <c r="DK2" s="62"/>
      <c r="DL2" s="60"/>
      <c r="DM2" s="79">
        <v>2017</v>
      </c>
      <c r="DN2" s="61" t="s">
        <v>89</v>
      </c>
      <c r="DO2" s="62"/>
      <c r="DP2" s="60"/>
      <c r="DQ2" s="79">
        <v>2017</v>
      </c>
      <c r="DR2" s="61" t="s">
        <v>90</v>
      </c>
      <c r="DS2" s="62"/>
      <c r="DT2" s="60"/>
      <c r="DU2" s="79">
        <v>2019</v>
      </c>
      <c r="DV2" s="61" t="s">
        <v>90</v>
      </c>
      <c r="DW2" s="62"/>
      <c r="DX2" s="60"/>
      <c r="DY2" s="79">
        <v>2019</v>
      </c>
      <c r="DZ2" s="61" t="s">
        <v>102</v>
      </c>
      <c r="EA2" s="62"/>
      <c r="EB2" s="60"/>
      <c r="EC2" s="79">
        <v>2019</v>
      </c>
      <c r="ED2" s="61" t="s">
        <v>103</v>
      </c>
      <c r="EE2" s="62"/>
      <c r="EF2" s="60"/>
      <c r="EG2" s="79">
        <v>2019</v>
      </c>
      <c r="EH2" s="61" t="s">
        <v>82</v>
      </c>
      <c r="EI2" s="62"/>
      <c r="EJ2" s="60"/>
      <c r="EK2" s="79">
        <v>2019</v>
      </c>
      <c r="EL2" s="61" t="s">
        <v>83</v>
      </c>
      <c r="EM2" s="62"/>
      <c r="EN2" s="60"/>
      <c r="EO2" s="79">
        <v>2019</v>
      </c>
      <c r="EP2" s="61" t="s">
        <v>84</v>
      </c>
      <c r="EQ2" s="62"/>
    </row>
    <row r="3" spans="1:147" x14ac:dyDescent="0.25">
      <c r="A3" s="40" t="s">
        <v>59</v>
      </c>
      <c r="B3" s="40"/>
      <c r="C3" s="40" t="s">
        <v>57</v>
      </c>
      <c r="D3" s="40" t="s">
        <v>58</v>
      </c>
      <c r="F3" s="40" t="s">
        <v>57</v>
      </c>
      <c r="G3" s="40" t="s">
        <v>58</v>
      </c>
      <c r="I3" s="40" t="s">
        <v>57</v>
      </c>
      <c r="J3" s="40" t="s">
        <v>58</v>
      </c>
      <c r="L3" s="40" t="s">
        <v>57</v>
      </c>
      <c r="M3" s="40" t="s">
        <v>58</v>
      </c>
      <c r="O3" s="40" t="s">
        <v>57</v>
      </c>
      <c r="P3" s="40" t="s">
        <v>58</v>
      </c>
      <c r="R3" s="40" t="s">
        <v>57</v>
      </c>
      <c r="S3" s="40" t="s">
        <v>58</v>
      </c>
      <c r="U3" s="40" t="s">
        <v>57</v>
      </c>
      <c r="V3" s="40" t="s">
        <v>58</v>
      </c>
      <c r="X3" s="40" t="s">
        <v>57</v>
      </c>
      <c r="Y3" s="40" t="s">
        <v>58</v>
      </c>
      <c r="AA3" s="40" t="s">
        <v>57</v>
      </c>
      <c r="AB3" s="40" t="s">
        <v>58</v>
      </c>
      <c r="AD3" s="40" t="s">
        <v>57</v>
      </c>
      <c r="AE3" s="40" t="s">
        <v>58</v>
      </c>
      <c r="AG3" s="40" t="s">
        <v>57</v>
      </c>
      <c r="AH3" s="40" t="s">
        <v>58</v>
      </c>
      <c r="AJ3" s="63"/>
      <c r="AK3" s="40" t="s">
        <v>57</v>
      </c>
      <c r="AL3" s="40" t="s">
        <v>58</v>
      </c>
      <c r="AM3" s="64"/>
      <c r="AN3" s="63"/>
      <c r="AO3" s="40" t="s">
        <v>57</v>
      </c>
      <c r="AP3" s="40" t="s">
        <v>58</v>
      </c>
      <c r="AQ3" s="64"/>
      <c r="AR3" s="63"/>
      <c r="AS3" s="40" t="s">
        <v>57</v>
      </c>
      <c r="AT3" s="40" t="s">
        <v>58</v>
      </c>
      <c r="AU3" s="64"/>
      <c r="AV3" s="63"/>
      <c r="AW3" s="40" t="s">
        <v>57</v>
      </c>
      <c r="AX3" s="40" t="s">
        <v>58</v>
      </c>
      <c r="AY3" s="64"/>
      <c r="AZ3" s="63"/>
      <c r="BA3" s="40" t="s">
        <v>57</v>
      </c>
      <c r="BB3" s="40" t="s">
        <v>58</v>
      </c>
      <c r="BC3" s="64"/>
      <c r="BD3" s="63"/>
      <c r="BE3" s="40" t="s">
        <v>57</v>
      </c>
      <c r="BF3" s="40" t="s">
        <v>58</v>
      </c>
      <c r="BG3" s="64"/>
      <c r="BH3" s="63"/>
      <c r="BI3" s="40" t="s">
        <v>57</v>
      </c>
      <c r="BJ3" s="40" t="s">
        <v>58</v>
      </c>
      <c r="BK3" s="64"/>
      <c r="BL3" s="63"/>
      <c r="BM3" s="40" t="s">
        <v>57</v>
      </c>
      <c r="BN3" s="40" t="s">
        <v>58</v>
      </c>
      <c r="BO3" s="64"/>
      <c r="BP3" s="63"/>
      <c r="BQ3" s="40" t="s">
        <v>57</v>
      </c>
      <c r="BR3" s="40" t="s">
        <v>58</v>
      </c>
      <c r="BS3" s="64"/>
      <c r="BT3" s="63"/>
      <c r="BU3" s="40" t="s">
        <v>57</v>
      </c>
      <c r="BV3" s="40" t="s">
        <v>58</v>
      </c>
      <c r="BW3" s="64"/>
      <c r="BX3" s="63"/>
      <c r="BY3" s="76" t="s">
        <v>57</v>
      </c>
      <c r="BZ3" s="76" t="s">
        <v>58</v>
      </c>
      <c r="CA3" s="64"/>
      <c r="CB3" s="63"/>
      <c r="CC3" s="76" t="s">
        <v>57</v>
      </c>
      <c r="CD3" s="76" t="s">
        <v>58</v>
      </c>
      <c r="CE3" s="64"/>
      <c r="CF3" s="63"/>
      <c r="CG3" s="76" t="s">
        <v>57</v>
      </c>
      <c r="CH3" s="76" t="s">
        <v>58</v>
      </c>
      <c r="CI3" s="64"/>
      <c r="CJ3" s="63"/>
      <c r="CK3" s="76" t="s">
        <v>57</v>
      </c>
      <c r="CL3" s="76" t="s">
        <v>58</v>
      </c>
      <c r="CM3" s="64"/>
      <c r="CN3" s="63"/>
      <c r="CO3" s="76" t="s">
        <v>57</v>
      </c>
      <c r="CP3" s="76" t="s">
        <v>58</v>
      </c>
      <c r="CQ3" s="64"/>
      <c r="CR3" s="63"/>
      <c r="CS3" s="76" t="s">
        <v>57</v>
      </c>
      <c r="CT3" s="76" t="s">
        <v>58</v>
      </c>
      <c r="CU3" s="64"/>
      <c r="CV3" s="63"/>
      <c r="CW3" s="76" t="s">
        <v>57</v>
      </c>
      <c r="CX3" s="76" t="s">
        <v>58</v>
      </c>
      <c r="CY3" s="64"/>
      <c r="CZ3" s="63"/>
      <c r="DA3" s="76" t="s">
        <v>57</v>
      </c>
      <c r="DB3" s="76" t="s">
        <v>58</v>
      </c>
      <c r="DC3" s="64"/>
      <c r="DD3" s="63"/>
      <c r="DE3" s="76" t="s">
        <v>57</v>
      </c>
      <c r="DF3" s="76" t="s">
        <v>58</v>
      </c>
      <c r="DG3" s="64"/>
      <c r="DH3" s="63"/>
      <c r="DI3" s="76" t="s">
        <v>57</v>
      </c>
      <c r="DJ3" s="76" t="s">
        <v>58</v>
      </c>
      <c r="DK3" s="64"/>
      <c r="DL3" s="63"/>
      <c r="DM3" s="76" t="s">
        <v>57</v>
      </c>
      <c r="DN3" s="76" t="s">
        <v>58</v>
      </c>
      <c r="DO3" s="64"/>
      <c r="DP3" s="63"/>
      <c r="DQ3" s="76" t="s">
        <v>57</v>
      </c>
      <c r="DR3" s="76" t="s">
        <v>58</v>
      </c>
      <c r="DS3" s="64"/>
      <c r="DT3" s="63"/>
      <c r="DU3" s="76" t="s">
        <v>57</v>
      </c>
      <c r="DV3" s="76" t="s">
        <v>58</v>
      </c>
      <c r="DW3" s="64"/>
      <c r="DX3" s="63"/>
      <c r="DY3" s="76" t="s">
        <v>57</v>
      </c>
      <c r="DZ3" s="76" t="s">
        <v>58</v>
      </c>
      <c r="EA3" s="64"/>
      <c r="EB3" s="63"/>
      <c r="EC3" s="76" t="s">
        <v>57</v>
      </c>
      <c r="ED3" s="76" t="s">
        <v>58</v>
      </c>
      <c r="EE3" s="64"/>
      <c r="EF3" s="63"/>
      <c r="EG3" s="76" t="s">
        <v>57</v>
      </c>
      <c r="EH3" s="76" t="s">
        <v>58</v>
      </c>
      <c r="EI3" s="64"/>
      <c r="EJ3" s="63"/>
      <c r="EK3" s="76" t="s">
        <v>57</v>
      </c>
      <c r="EL3" s="76" t="s">
        <v>58</v>
      </c>
      <c r="EM3" s="64"/>
      <c r="EN3" s="63"/>
      <c r="EO3" s="76" t="s">
        <v>57</v>
      </c>
      <c r="EP3" s="76" t="s">
        <v>58</v>
      </c>
      <c r="EQ3" s="64"/>
    </row>
    <row r="4" spans="1:147" x14ac:dyDescent="0.25">
      <c r="AJ4" s="63"/>
      <c r="AM4" s="64"/>
      <c r="AN4" s="63"/>
      <c r="AQ4" s="64"/>
      <c r="AR4" s="63"/>
      <c r="AU4" s="64"/>
      <c r="AV4" s="63"/>
      <c r="AY4" s="64"/>
      <c r="AZ4" s="63"/>
      <c r="BC4" s="64"/>
      <c r="BD4" s="63"/>
      <c r="BG4" s="64"/>
      <c r="BH4" s="63"/>
      <c r="BK4" s="64"/>
      <c r="BL4" s="63"/>
      <c r="BO4" s="64"/>
      <c r="BP4" s="63"/>
      <c r="BS4" s="64"/>
      <c r="BT4" s="63"/>
      <c r="BW4" s="64"/>
      <c r="BX4" s="63"/>
      <c r="CA4" s="64"/>
      <c r="CB4" s="63"/>
      <c r="CE4" s="64"/>
      <c r="CF4" s="63"/>
      <c r="CI4" s="64"/>
      <c r="CJ4" s="63"/>
      <c r="CM4" s="64"/>
      <c r="CN4" s="63"/>
      <c r="CQ4" s="64"/>
      <c r="CR4" s="63"/>
      <c r="CU4" s="64"/>
      <c r="CV4" s="63"/>
      <c r="CY4" s="64"/>
      <c r="CZ4" s="63"/>
      <c r="DC4" s="64"/>
      <c r="DD4" s="63"/>
      <c r="DG4" s="64"/>
      <c r="DH4" s="63"/>
      <c r="DK4" s="64"/>
      <c r="DL4" s="63"/>
      <c r="DO4" s="64"/>
      <c r="DP4" s="63"/>
      <c r="DS4" s="64"/>
      <c r="DT4" s="63"/>
      <c r="DW4" s="64"/>
      <c r="DX4" s="63"/>
      <c r="EA4" s="64"/>
      <c r="EB4" s="63"/>
      <c r="EE4" s="64"/>
      <c r="EF4" s="63"/>
      <c r="EI4" s="64"/>
      <c r="EJ4" s="63"/>
      <c r="EM4" s="64"/>
      <c r="EN4" s="63"/>
      <c r="EQ4" s="64"/>
    </row>
    <row r="5" spans="1:147" x14ac:dyDescent="0.25">
      <c r="A5" t="s">
        <v>60</v>
      </c>
      <c r="AJ5" s="63"/>
      <c r="AM5" s="64"/>
      <c r="AN5" s="63"/>
      <c r="AQ5" s="64"/>
      <c r="AR5" s="63"/>
      <c r="AU5" s="64"/>
      <c r="AV5" s="63"/>
      <c r="AY5" s="64"/>
      <c r="AZ5" s="63"/>
      <c r="BC5" s="64"/>
      <c r="BD5" s="63"/>
      <c r="BG5" s="64"/>
      <c r="BH5" s="63"/>
      <c r="BK5" s="64"/>
      <c r="BL5" s="63"/>
      <c r="BO5" s="64"/>
      <c r="BP5" s="63"/>
      <c r="BS5" s="64"/>
      <c r="BT5" s="63"/>
      <c r="BW5" s="64"/>
      <c r="BX5" s="63"/>
      <c r="CA5" s="64"/>
      <c r="CB5" s="63"/>
      <c r="CE5" s="64"/>
      <c r="CF5" s="63"/>
      <c r="CI5" s="64"/>
      <c r="CJ5" s="63"/>
      <c r="CM5" s="64"/>
      <c r="CN5" s="63"/>
      <c r="CQ5" s="64"/>
      <c r="CR5" s="63"/>
      <c r="CU5" s="64"/>
      <c r="CV5" s="63"/>
      <c r="CY5" s="64"/>
      <c r="CZ5" s="63"/>
      <c r="DC5" s="64"/>
      <c r="DD5" s="63"/>
      <c r="DG5" s="64"/>
      <c r="DH5" s="63"/>
      <c r="DK5" s="64"/>
      <c r="DL5" s="63"/>
      <c r="DO5" s="64"/>
      <c r="DP5" s="63"/>
      <c r="DS5" s="64"/>
      <c r="DT5" s="63"/>
      <c r="DW5" s="64"/>
      <c r="DX5" s="63"/>
      <c r="EA5" s="64"/>
      <c r="EB5" s="63"/>
      <c r="EE5" s="64"/>
      <c r="EF5" s="63"/>
      <c r="EI5" s="64"/>
      <c r="EJ5" s="63"/>
      <c r="EM5" s="64"/>
      <c r="EN5" s="63"/>
      <c r="EQ5" s="64"/>
    </row>
    <row r="6" spans="1:147" x14ac:dyDescent="0.25">
      <c r="A6">
        <v>41</v>
      </c>
      <c r="C6" s="47">
        <v>39233</v>
      </c>
      <c r="D6" s="46">
        <f>WORKDAY(C6,1,$C$33:$C$42)</f>
        <v>39234</v>
      </c>
      <c r="F6" s="47">
        <v>39324</v>
      </c>
      <c r="G6" s="46">
        <f>WORKDAY(F6,1,$C$33:$C$42)</f>
        <v>39325</v>
      </c>
      <c r="I6" s="47">
        <v>39415</v>
      </c>
      <c r="J6" s="46">
        <f>WORKDAY(I6,1,$C$33:$C$42)</f>
        <v>39416</v>
      </c>
      <c r="L6" s="47">
        <v>39506</v>
      </c>
      <c r="M6" s="46">
        <f>WORKDAY(L6,1,$L$33:$L$42)</f>
        <v>39507</v>
      </c>
      <c r="O6" s="47">
        <v>39598</v>
      </c>
      <c r="P6" s="46">
        <f>WORKDAY(O6,1,$L$33:$L$42)</f>
        <v>39601</v>
      </c>
      <c r="R6" s="47">
        <v>39689</v>
      </c>
      <c r="S6" s="46">
        <f>WORKDAY(R6,1,$L$33:$L$42)</f>
        <v>39693</v>
      </c>
      <c r="U6" s="47">
        <v>39783</v>
      </c>
      <c r="V6" s="46">
        <f>WORKDAY(U6,1,$L$33:$L$42)</f>
        <v>39784</v>
      </c>
      <c r="X6" s="47">
        <v>39871</v>
      </c>
      <c r="Y6" s="46">
        <f>WORKDAY(X6,1,X$33:X$43)</f>
        <v>39874</v>
      </c>
      <c r="AA6" s="47">
        <v>39962</v>
      </c>
      <c r="AB6" s="46">
        <f>WORKDAY(AA6,1,$L$33:$L$43)</f>
        <v>39965</v>
      </c>
      <c r="AD6" s="47">
        <v>40056</v>
      </c>
      <c r="AE6" s="46">
        <f>WORKDAY(AD6,1,X$33:X$43)</f>
        <v>40057</v>
      </c>
      <c r="AG6" s="47">
        <v>40147</v>
      </c>
      <c r="AH6" s="46">
        <f>WORKDAY(AG6,1,X$33:X$43)</f>
        <v>40148</v>
      </c>
      <c r="AJ6" s="63"/>
      <c r="AK6" s="47">
        <v>42153</v>
      </c>
      <c r="AL6" s="46">
        <f>WORKDAY(AK6,1,AB$33:AB$43)</f>
        <v>42156</v>
      </c>
      <c r="AM6" s="64"/>
      <c r="AN6" s="65">
        <f>+AO6-AK6</f>
        <v>32</v>
      </c>
      <c r="AO6" s="47">
        <v>42185</v>
      </c>
      <c r="AP6" s="46">
        <f>WORKDAY(AO6,1,AF$33:AF$43)</f>
        <v>42186</v>
      </c>
      <c r="AQ6" s="64"/>
      <c r="AR6" s="65">
        <f>+AS6-AO6</f>
        <v>31</v>
      </c>
      <c r="AS6" s="47">
        <v>42216</v>
      </c>
      <c r="AT6" s="46">
        <f>WORKDAY(AS6,1,AJ$33:AJ$43)</f>
        <v>42219</v>
      </c>
      <c r="AU6" s="64"/>
      <c r="AV6" s="65">
        <f>+AW6-AS6</f>
        <v>31</v>
      </c>
      <c r="AW6" s="47">
        <v>42247</v>
      </c>
      <c r="AX6" s="46">
        <f>WORKDAY(AW6,1,AN$33:AN$43)</f>
        <v>42248</v>
      </c>
      <c r="AY6" s="64"/>
      <c r="AZ6" s="65">
        <f>+BA6-AW6</f>
        <v>30</v>
      </c>
      <c r="BA6" s="47">
        <v>42277</v>
      </c>
      <c r="BB6" s="46">
        <f>WORKDAY(BA6,1,AR$33:AR$43)</f>
        <v>42278</v>
      </c>
      <c r="BC6" s="64"/>
      <c r="BD6" s="65">
        <f>+BE6-BA6</f>
        <v>29</v>
      </c>
      <c r="BE6" s="47">
        <v>42306</v>
      </c>
      <c r="BF6" s="46">
        <f>WORKDAY(BE6,1,AV$33:AV$43)</f>
        <v>42307</v>
      </c>
      <c r="BG6" s="64"/>
      <c r="BH6" s="65">
        <f>+BI6-BE6</f>
        <v>32</v>
      </c>
      <c r="BI6" s="47">
        <v>42338</v>
      </c>
      <c r="BJ6" s="46">
        <f>WORKDAY(BI6,1,AZ$33:AZ$43)</f>
        <v>42339</v>
      </c>
      <c r="BK6" s="64"/>
      <c r="BL6" s="65">
        <f>+BM6-BI6</f>
        <v>30</v>
      </c>
      <c r="BM6" s="47">
        <v>42368</v>
      </c>
      <c r="BN6" s="46">
        <f>WORKDAY(BM6,1,BD$33:BD$43)</f>
        <v>42369</v>
      </c>
      <c r="BO6" s="64"/>
      <c r="BP6" s="65">
        <f>+BQ6-BM6</f>
        <v>30</v>
      </c>
      <c r="BQ6" s="47">
        <v>42398</v>
      </c>
      <c r="BR6" s="46">
        <f>WORKDAY(BQ6,1,BH$33:BH$43)</f>
        <v>42401</v>
      </c>
      <c r="BS6" s="64"/>
      <c r="BT6" s="65">
        <f>+BU6-BQ6</f>
        <v>31</v>
      </c>
      <c r="BU6" s="47">
        <v>42429</v>
      </c>
      <c r="BV6" s="46">
        <f>WORKDAY(BU6,1,BL$33:BL$43)</f>
        <v>42430</v>
      </c>
      <c r="BW6" s="64"/>
      <c r="BX6" s="65">
        <f>+BY6-BU6</f>
        <v>30</v>
      </c>
      <c r="BY6" s="47">
        <v>42459</v>
      </c>
      <c r="BZ6" s="46">
        <f>WORKDAY(BY6,1)</f>
        <v>42460</v>
      </c>
      <c r="CA6" s="64"/>
      <c r="CB6" s="65">
        <f>+CC6-BY6</f>
        <v>29</v>
      </c>
      <c r="CC6" s="47">
        <v>42488</v>
      </c>
      <c r="CD6" s="46">
        <f>WORKDAY(CC6,1)</f>
        <v>42489</v>
      </c>
      <c r="CE6" s="64"/>
      <c r="CF6" s="65">
        <f>+CG6-CC6</f>
        <v>33</v>
      </c>
      <c r="CG6" s="47">
        <v>42521</v>
      </c>
      <c r="CH6" s="46">
        <f>WORKDAY(CG6,1)</f>
        <v>42522</v>
      </c>
      <c r="CI6" s="64"/>
      <c r="CJ6" s="65">
        <f>+CK6-CG6</f>
        <v>29</v>
      </c>
      <c r="CK6" s="47">
        <v>42550</v>
      </c>
      <c r="CL6" s="46">
        <f>WORKDAY(CK6,1)</f>
        <v>42551</v>
      </c>
      <c r="CM6" s="64"/>
      <c r="CN6" s="65">
        <f>+CO6-CK6</f>
        <v>30</v>
      </c>
      <c r="CO6" s="47">
        <v>42580</v>
      </c>
      <c r="CP6" s="46">
        <f>WORKDAY(CO6,1)</f>
        <v>42583</v>
      </c>
      <c r="CQ6" s="64"/>
      <c r="CR6" s="65">
        <f>+CS6-CO6</f>
        <v>32</v>
      </c>
      <c r="CS6" s="47">
        <v>42612</v>
      </c>
      <c r="CT6" s="46">
        <f>WORKDAY(CS6,1)</f>
        <v>42613</v>
      </c>
      <c r="CU6" s="64"/>
      <c r="CV6" s="65">
        <f>+CW6-CS6</f>
        <v>29</v>
      </c>
      <c r="CW6" s="47">
        <v>42641</v>
      </c>
      <c r="CX6" s="46">
        <f>WORKDAY(CW6,1)</f>
        <v>42642</v>
      </c>
      <c r="CY6" s="64"/>
      <c r="CZ6" s="65">
        <f>+DA6-CW6</f>
        <v>30</v>
      </c>
      <c r="DA6" s="47">
        <v>42671</v>
      </c>
      <c r="DB6" s="46">
        <f>WORKDAY(DA6,1)</f>
        <v>42674</v>
      </c>
      <c r="DC6" s="64"/>
      <c r="DD6" s="65">
        <f>+DE6-DA6</f>
        <v>33</v>
      </c>
      <c r="DE6" s="47">
        <v>42704</v>
      </c>
      <c r="DF6" s="46">
        <f>WORKDAY(DE6,1)</f>
        <v>42705</v>
      </c>
      <c r="DG6" s="64"/>
      <c r="DH6" s="65">
        <f>+DI6-DE6</f>
        <v>30</v>
      </c>
      <c r="DI6" s="47">
        <v>42734</v>
      </c>
      <c r="DJ6" s="46">
        <f>WORKDAY(DI6,1)</f>
        <v>42737</v>
      </c>
      <c r="DK6" s="64"/>
      <c r="DL6" s="65">
        <f>+DM6-DI6</f>
        <v>32</v>
      </c>
      <c r="DM6" s="47">
        <v>42766</v>
      </c>
      <c r="DN6" s="46">
        <f>WORKDAY(DM6,1)</f>
        <v>42767</v>
      </c>
      <c r="DO6" s="64"/>
      <c r="DP6" s="65">
        <f>+DQ6-DM6</f>
        <v>28</v>
      </c>
      <c r="DQ6" s="47">
        <v>42794</v>
      </c>
      <c r="DR6" s="46">
        <f>WORKDAY(DQ6,1)</f>
        <v>42795</v>
      </c>
      <c r="DS6" s="64"/>
      <c r="DT6" s="65">
        <f>+DU6-DQ6</f>
        <v>730</v>
      </c>
      <c r="DU6" s="47">
        <v>43524</v>
      </c>
      <c r="DV6" s="46">
        <f t="shared" ref="DV6:DV11" si="0">WORKDAY(DU6,1)</f>
        <v>43525</v>
      </c>
      <c r="DW6" s="64"/>
      <c r="DX6" s="65">
        <f t="shared" ref="DX6:DX11" si="1">+DY6-DU6</f>
        <v>29</v>
      </c>
      <c r="DY6" s="47">
        <v>43553</v>
      </c>
      <c r="DZ6" s="46">
        <f t="shared" ref="DZ6:DZ11" si="2">WORKDAY(DY6,1)</f>
        <v>43556</v>
      </c>
      <c r="EA6" s="64"/>
      <c r="EB6" s="65">
        <f>+EC6-DY6</f>
        <v>32</v>
      </c>
      <c r="EC6" s="47">
        <v>43585</v>
      </c>
      <c r="ED6" s="46">
        <f>WORKDAY(EC6,1)</f>
        <v>43586</v>
      </c>
      <c r="EE6" s="64"/>
      <c r="EF6" s="65">
        <f>+EG6-EC6</f>
        <v>31</v>
      </c>
      <c r="EG6" s="47">
        <v>43616</v>
      </c>
      <c r="EH6" s="46">
        <f>WORKDAY(EG6,1)</f>
        <v>43619</v>
      </c>
      <c r="EI6" s="64"/>
      <c r="EJ6" s="65">
        <f>+EK6-EG6</f>
        <v>28</v>
      </c>
      <c r="EK6" s="47">
        <v>43644</v>
      </c>
      <c r="EL6" s="46">
        <f>WORKDAY(EK6,1)</f>
        <v>43647</v>
      </c>
      <c r="EM6" s="64"/>
      <c r="EN6" s="65">
        <f>+EO6-EK6</f>
        <v>33</v>
      </c>
      <c r="EO6" s="47">
        <v>43677</v>
      </c>
      <c r="EP6" s="46">
        <f>WORKDAY(EO6,1)</f>
        <v>43678</v>
      </c>
      <c r="EQ6" s="64"/>
    </row>
    <row r="7" spans="1:147" x14ac:dyDescent="0.25">
      <c r="A7">
        <v>42</v>
      </c>
      <c r="C7" s="47">
        <v>39234</v>
      </c>
      <c r="D7" s="46">
        <f>WORKDAY(C7,1,$C$33:$C$42)</f>
        <v>39237</v>
      </c>
      <c r="E7" t="s">
        <v>62</v>
      </c>
      <c r="F7" s="47">
        <v>39325</v>
      </c>
      <c r="G7" s="46">
        <f>WORKDAY(F7,1,$C$33:$C$42)</f>
        <v>39329</v>
      </c>
      <c r="H7" t="s">
        <v>62</v>
      </c>
      <c r="I7" s="47">
        <v>39416</v>
      </c>
      <c r="J7" s="46">
        <f>WORKDAY(I7,1,$C$33:$C$42)</f>
        <v>39419</v>
      </c>
      <c r="K7" t="s">
        <v>62</v>
      </c>
      <c r="L7" s="47">
        <v>39507</v>
      </c>
      <c r="M7" s="46">
        <f>WORKDAY(L7,1,$L$33:$L$42)</f>
        <v>39510</v>
      </c>
      <c r="N7" t="s">
        <v>62</v>
      </c>
      <c r="O7" s="47">
        <v>39601</v>
      </c>
      <c r="P7" s="46">
        <f>WORKDAY(O7,1,$L$33:$L$42)</f>
        <v>39602</v>
      </c>
      <c r="Q7" t="s">
        <v>62</v>
      </c>
      <c r="R7" s="47">
        <v>39693</v>
      </c>
      <c r="S7" s="46">
        <f>WORKDAY(R7,1,$L$33:$L$42)</f>
        <v>39694</v>
      </c>
      <c r="T7" t="s">
        <v>62</v>
      </c>
      <c r="U7" s="47">
        <v>39784</v>
      </c>
      <c r="V7" s="46">
        <f>WORKDAY(U7,1,$L$33:$L$42)</f>
        <v>39785</v>
      </c>
      <c r="W7" t="s">
        <v>62</v>
      </c>
      <c r="X7" s="47">
        <v>39874</v>
      </c>
      <c r="Y7" s="46">
        <f>WORKDAY(X7,1,X$33:X$43)</f>
        <v>39875</v>
      </c>
      <c r="Z7" t="s">
        <v>62</v>
      </c>
      <c r="AA7" s="47">
        <v>39965</v>
      </c>
      <c r="AB7" s="46">
        <f>WORKDAY(AA7,1,$L$33:$L$43)</f>
        <v>39966</v>
      </c>
      <c r="AC7" t="s">
        <v>62</v>
      </c>
      <c r="AD7" s="47">
        <v>40057</v>
      </c>
      <c r="AE7" s="46">
        <f>WORKDAY(AD7,1,X$33:X$43)</f>
        <v>40058</v>
      </c>
      <c r="AF7" t="s">
        <v>62</v>
      </c>
      <c r="AG7" s="47">
        <v>40148</v>
      </c>
      <c r="AH7" s="46">
        <f>WORKDAY(AG7,1,X$33:X$43)</f>
        <v>40149</v>
      </c>
      <c r="AI7" t="s">
        <v>62</v>
      </c>
      <c r="AJ7" s="63"/>
      <c r="AK7" s="47">
        <v>42156</v>
      </c>
      <c r="AL7" s="46">
        <f>WORKDAY(AK7,1,AB$33:AB$43)</f>
        <v>42157</v>
      </c>
      <c r="AM7" s="64" t="s">
        <v>62</v>
      </c>
      <c r="AN7" s="65">
        <f>+AO7-AK7</f>
        <v>30</v>
      </c>
      <c r="AO7" s="47">
        <v>42186</v>
      </c>
      <c r="AP7" s="46">
        <f>WORKDAY(AO7,1,AF$33:AF$43)</f>
        <v>42187</v>
      </c>
      <c r="AQ7" s="64" t="s">
        <v>62</v>
      </c>
      <c r="AR7" s="65">
        <f>+AS7-AO7</f>
        <v>33</v>
      </c>
      <c r="AS7" s="47">
        <v>42219</v>
      </c>
      <c r="AT7" s="46">
        <f>WORKDAY(AS7,1,AJ$33:AJ$43)</f>
        <v>42220</v>
      </c>
      <c r="AU7" s="64" t="s">
        <v>62</v>
      </c>
      <c r="AV7" s="65">
        <f>+AW7-AS7</f>
        <v>29</v>
      </c>
      <c r="AW7" s="47">
        <v>42248</v>
      </c>
      <c r="AX7" s="46">
        <f>WORKDAY(AW7,1,AN$33:AN$43)</f>
        <v>42249</v>
      </c>
      <c r="AY7" s="64" t="s">
        <v>62</v>
      </c>
      <c r="AZ7" s="65">
        <f>+BA7-AW7</f>
        <v>30</v>
      </c>
      <c r="BA7" s="47">
        <v>42278</v>
      </c>
      <c r="BB7" s="46">
        <f>WORKDAY(BA7,1,AR$33:AR$43)</f>
        <v>42279</v>
      </c>
      <c r="BC7" s="64" t="s">
        <v>62</v>
      </c>
      <c r="BD7" s="65">
        <f>+BE7-BA7</f>
        <v>29</v>
      </c>
      <c r="BE7" s="47">
        <v>42307</v>
      </c>
      <c r="BF7" s="46">
        <f>WORKDAY(BE7,1,AV$33:AV$43)</f>
        <v>42310</v>
      </c>
      <c r="BG7" s="64" t="s">
        <v>62</v>
      </c>
      <c r="BH7" s="65">
        <f>+BI7-BE7</f>
        <v>32</v>
      </c>
      <c r="BI7" s="47">
        <v>42339</v>
      </c>
      <c r="BJ7" s="46">
        <f>WORKDAY(BI7,1,AZ$33:AZ$43)</f>
        <v>42340</v>
      </c>
      <c r="BK7" s="64" t="s">
        <v>62</v>
      </c>
      <c r="BL7" s="65">
        <f>+BM7-BI7</f>
        <v>30</v>
      </c>
      <c r="BM7" s="47">
        <v>42369</v>
      </c>
      <c r="BN7" s="72">
        <f>WORKDAY(BM7,2,BD$33:BD$43)</f>
        <v>42373</v>
      </c>
      <c r="BO7" s="64" t="s">
        <v>62</v>
      </c>
      <c r="BP7" s="65">
        <f>+BQ7-BM7</f>
        <v>32</v>
      </c>
      <c r="BQ7" s="47">
        <v>42401</v>
      </c>
      <c r="BR7" s="46">
        <f>WORKDAY(BQ7,1,BH$33:BH$43)</f>
        <v>42402</v>
      </c>
      <c r="BS7" s="64" t="s">
        <v>62</v>
      </c>
      <c r="BT7" s="65">
        <f>+BU7-BQ7</f>
        <v>29</v>
      </c>
      <c r="BU7" s="47">
        <v>42430</v>
      </c>
      <c r="BV7" s="46">
        <f>WORKDAY(BU7,1,BL$33:BL$43)</f>
        <v>42431</v>
      </c>
      <c r="BW7" s="64" t="s">
        <v>62</v>
      </c>
      <c r="BX7" s="65">
        <f>+BY7-BU7</f>
        <v>30</v>
      </c>
      <c r="BY7" s="47">
        <v>42460</v>
      </c>
      <c r="BZ7" s="46">
        <f>WORKDAY(BY7,1)</f>
        <v>42461</v>
      </c>
      <c r="CA7" s="64" t="s">
        <v>62</v>
      </c>
      <c r="CB7" s="65">
        <f>+CC7-BY7</f>
        <v>29</v>
      </c>
      <c r="CC7" s="47">
        <v>42489</v>
      </c>
      <c r="CD7" s="46">
        <f>WORKDAY(CC7,1)</f>
        <v>42492</v>
      </c>
      <c r="CE7" s="64" t="s">
        <v>62</v>
      </c>
      <c r="CF7" s="65">
        <f>+CG7-CC7</f>
        <v>33</v>
      </c>
      <c r="CG7" s="47">
        <v>42522</v>
      </c>
      <c r="CH7" s="46">
        <f>WORKDAY(CG7,1)</f>
        <v>42523</v>
      </c>
      <c r="CI7" s="64" t="s">
        <v>62</v>
      </c>
      <c r="CJ7" s="65">
        <f>+CK7-CG7</f>
        <v>29</v>
      </c>
      <c r="CK7" s="47">
        <v>42551</v>
      </c>
      <c r="CL7" s="46">
        <f>WORKDAY(CK7,1)</f>
        <v>42552</v>
      </c>
      <c r="CM7" s="64" t="s">
        <v>62</v>
      </c>
      <c r="CN7" s="65">
        <f>+CO7-CK7</f>
        <v>32</v>
      </c>
      <c r="CO7" s="47">
        <v>42583</v>
      </c>
      <c r="CP7" s="46">
        <f>WORKDAY(CO7,1)</f>
        <v>42584</v>
      </c>
      <c r="CQ7" s="64" t="s">
        <v>62</v>
      </c>
      <c r="CR7" s="65">
        <f>+CS7-CO7</f>
        <v>30</v>
      </c>
      <c r="CS7" s="47">
        <v>42613</v>
      </c>
      <c r="CT7" s="46">
        <f>WORKDAY(CS7,1)</f>
        <v>42614</v>
      </c>
      <c r="CU7" s="64" t="s">
        <v>62</v>
      </c>
      <c r="CV7" s="65">
        <f>+CW7-CS7</f>
        <v>30</v>
      </c>
      <c r="CW7" s="47">
        <v>42643</v>
      </c>
      <c r="CX7" s="46">
        <f>WORKDAY(CW7,1)</f>
        <v>42646</v>
      </c>
      <c r="CY7" s="64" t="s">
        <v>62</v>
      </c>
      <c r="CZ7" s="65">
        <f>+DA7-CW7</f>
        <v>31</v>
      </c>
      <c r="DA7" s="47">
        <v>42674</v>
      </c>
      <c r="DB7" s="46">
        <f>WORKDAY(DA7,1)</f>
        <v>42675</v>
      </c>
      <c r="DC7" s="64" t="s">
        <v>62</v>
      </c>
      <c r="DD7" s="65">
        <f>+DE7-DA7</f>
        <v>31</v>
      </c>
      <c r="DE7" s="47">
        <v>42705</v>
      </c>
      <c r="DF7" s="46">
        <f>WORKDAY(DE7,1)</f>
        <v>42706</v>
      </c>
      <c r="DG7" s="64" t="s">
        <v>62</v>
      </c>
      <c r="DH7" s="65">
        <f>+DI7-DE7</f>
        <v>33</v>
      </c>
      <c r="DI7" s="47">
        <v>42738</v>
      </c>
      <c r="DJ7" s="46">
        <f>WORKDAY(DI7,1)</f>
        <v>42739</v>
      </c>
      <c r="DK7" s="64" t="s">
        <v>62</v>
      </c>
      <c r="DL7" s="65">
        <f>+DM7-DI7</f>
        <v>29</v>
      </c>
      <c r="DM7" s="47">
        <v>42767</v>
      </c>
      <c r="DN7" s="46">
        <f>WORKDAY(DM7,1)</f>
        <v>42768</v>
      </c>
      <c r="DO7" s="64" t="s">
        <v>62</v>
      </c>
      <c r="DP7" s="65">
        <f>+DQ7-DM7</f>
        <v>28</v>
      </c>
      <c r="DQ7" s="47">
        <v>42795</v>
      </c>
      <c r="DR7" s="46">
        <f>WORKDAY(DQ7,1)</f>
        <v>42796</v>
      </c>
      <c r="DS7" s="64" t="s">
        <v>62</v>
      </c>
      <c r="DT7" s="65">
        <f>+DU7-DQ7</f>
        <v>730</v>
      </c>
      <c r="DU7" s="47">
        <v>43525</v>
      </c>
      <c r="DV7" s="46">
        <f t="shared" si="0"/>
        <v>43528</v>
      </c>
      <c r="DW7" s="64" t="s">
        <v>62</v>
      </c>
      <c r="DX7" s="65">
        <f t="shared" si="1"/>
        <v>31</v>
      </c>
      <c r="DY7" s="47">
        <v>43556</v>
      </c>
      <c r="DZ7" s="46">
        <f t="shared" si="2"/>
        <v>43557</v>
      </c>
      <c r="EA7" s="64" t="s">
        <v>62</v>
      </c>
      <c r="EB7" s="65">
        <f>+EC7-DY7</f>
        <v>30</v>
      </c>
      <c r="EC7" s="47">
        <v>43586</v>
      </c>
      <c r="ED7" s="46">
        <f>WORKDAY(EC7,1)</f>
        <v>43587</v>
      </c>
      <c r="EE7" s="64" t="s">
        <v>62</v>
      </c>
      <c r="EF7" s="65">
        <f>+EG7-EC7</f>
        <v>33</v>
      </c>
      <c r="EG7" s="47">
        <v>43619</v>
      </c>
      <c r="EH7" s="46">
        <f>WORKDAY(EG7,1)</f>
        <v>43620</v>
      </c>
      <c r="EI7" s="64" t="s">
        <v>62</v>
      </c>
      <c r="EJ7" s="65">
        <f>+EK7-EG7</f>
        <v>28</v>
      </c>
      <c r="EK7" s="47">
        <v>43647</v>
      </c>
      <c r="EL7" s="46">
        <f>WORKDAY(EK7,1)</f>
        <v>43648</v>
      </c>
      <c r="EM7" s="64" t="s">
        <v>62</v>
      </c>
      <c r="EN7" s="65">
        <f>+EO7-EK7</f>
        <v>31</v>
      </c>
      <c r="EO7" s="47">
        <v>43678</v>
      </c>
      <c r="EP7" s="46">
        <f>WORKDAY(EO7,1)</f>
        <v>43679</v>
      </c>
      <c r="EQ7" s="64" t="s">
        <v>62</v>
      </c>
    </row>
    <row r="8" spans="1:147" x14ac:dyDescent="0.25">
      <c r="A8">
        <v>43</v>
      </c>
      <c r="C8" s="47">
        <v>39237</v>
      </c>
      <c r="D8" s="46">
        <f>WORKDAY(C8,1,$C$33:$C$42)</f>
        <v>39238</v>
      </c>
      <c r="E8" t="s">
        <v>63</v>
      </c>
      <c r="F8" s="47">
        <v>39329</v>
      </c>
      <c r="G8" s="46">
        <f>WORKDAY(F8,1,$C$33:$C$42)</f>
        <v>39330</v>
      </c>
      <c r="H8" t="s">
        <v>63</v>
      </c>
      <c r="I8" s="47">
        <v>39419</v>
      </c>
      <c r="J8" s="46">
        <f>WORKDAY(I8,1,$C$33:$C$42)</f>
        <v>39420</v>
      </c>
      <c r="K8" t="s">
        <v>63</v>
      </c>
      <c r="L8" s="47">
        <v>39510</v>
      </c>
      <c r="M8" s="46">
        <f>WORKDAY(L8,1,$L$33:$L$42)</f>
        <v>39511</v>
      </c>
      <c r="N8" t="s">
        <v>63</v>
      </c>
      <c r="O8" s="47">
        <v>39602</v>
      </c>
      <c r="P8" s="46">
        <f>WORKDAY(O8,1,$L$33:$L$42)</f>
        <v>39603</v>
      </c>
      <c r="Q8" t="s">
        <v>63</v>
      </c>
      <c r="R8" s="47">
        <v>39694</v>
      </c>
      <c r="S8" s="46">
        <f>WORKDAY(R8,1,$L$33:$L$42)</f>
        <v>39695</v>
      </c>
      <c r="T8" t="s">
        <v>63</v>
      </c>
      <c r="U8" s="47">
        <v>39785</v>
      </c>
      <c r="V8" s="46">
        <f>WORKDAY(U8,1,$L$33:$L$42)</f>
        <v>39786</v>
      </c>
      <c r="W8" t="s">
        <v>63</v>
      </c>
      <c r="X8" s="47">
        <v>39875</v>
      </c>
      <c r="Y8" s="46">
        <f>WORKDAY(X8,1,X$33:X$43)</f>
        <v>39876</v>
      </c>
      <c r="Z8" t="s">
        <v>63</v>
      </c>
      <c r="AA8" s="47">
        <v>39966</v>
      </c>
      <c r="AB8" s="46">
        <f>WORKDAY(AA8,1,$L$33:$L$43)</f>
        <v>39967</v>
      </c>
      <c r="AC8" t="s">
        <v>63</v>
      </c>
      <c r="AD8" s="47">
        <v>40058</v>
      </c>
      <c r="AE8" s="46">
        <f>WORKDAY(AD8,1,X$33:X$43)</f>
        <v>40059</v>
      </c>
      <c r="AF8" t="s">
        <v>63</v>
      </c>
      <c r="AG8" s="47">
        <v>40149</v>
      </c>
      <c r="AH8" s="46">
        <f>WORKDAY(AG8,1,X$33:X$43)</f>
        <v>40150</v>
      </c>
      <c r="AI8" t="s">
        <v>63</v>
      </c>
      <c r="AJ8" s="63"/>
      <c r="AK8" s="47">
        <v>42157</v>
      </c>
      <c r="AL8" s="46">
        <f>WORKDAY(AK8,1,AB$33:AB$43)</f>
        <v>42158</v>
      </c>
      <c r="AM8" s="64" t="s">
        <v>63</v>
      </c>
      <c r="AN8" s="65">
        <f>+AO8-AK8</f>
        <v>30</v>
      </c>
      <c r="AO8" s="47">
        <v>42187</v>
      </c>
      <c r="AP8" s="46">
        <f>WORKDAY(AO8,1,AF$33:AF$43)</f>
        <v>42188</v>
      </c>
      <c r="AQ8" s="64" t="s">
        <v>63</v>
      </c>
      <c r="AR8" s="65">
        <f>+AS8-AO8</f>
        <v>33</v>
      </c>
      <c r="AS8" s="47">
        <v>42220</v>
      </c>
      <c r="AT8" s="46">
        <f>WORKDAY(AS8,1,AJ$33:AJ$43)</f>
        <v>42221</v>
      </c>
      <c r="AU8" s="64" t="s">
        <v>63</v>
      </c>
      <c r="AV8" s="65">
        <f>+AW8-AS8</f>
        <v>29</v>
      </c>
      <c r="AW8" s="47">
        <v>42249</v>
      </c>
      <c r="AX8" s="46">
        <f>WORKDAY(AW8,1,AN$33:AN$43)</f>
        <v>42250</v>
      </c>
      <c r="AY8" s="64" t="s">
        <v>63</v>
      </c>
      <c r="AZ8" s="65">
        <f>+BA8-AW8</f>
        <v>30</v>
      </c>
      <c r="BA8" s="47">
        <v>42279</v>
      </c>
      <c r="BB8" s="46">
        <f>WORKDAY(BA8,1,AR$33:AR$43)</f>
        <v>42282</v>
      </c>
      <c r="BC8" s="64" t="s">
        <v>63</v>
      </c>
      <c r="BD8" s="65">
        <f>+BE8-BA8</f>
        <v>31</v>
      </c>
      <c r="BE8" s="47">
        <v>42310</v>
      </c>
      <c r="BF8" s="46">
        <f>WORKDAY(BE8,1,AV$33:AV$43)</f>
        <v>42311</v>
      </c>
      <c r="BG8" s="64" t="s">
        <v>63</v>
      </c>
      <c r="BH8" s="65">
        <f>+BI8-BE8</f>
        <v>30</v>
      </c>
      <c r="BI8" s="47">
        <v>42340</v>
      </c>
      <c r="BJ8" s="46">
        <f>WORKDAY(BI8,1,AZ$33:AZ$43)</f>
        <v>42341</v>
      </c>
      <c r="BK8" s="64" t="s">
        <v>63</v>
      </c>
      <c r="BL8" s="65">
        <f>+BM8-BI8</f>
        <v>33</v>
      </c>
      <c r="BM8" s="47">
        <v>42373</v>
      </c>
      <c r="BN8" s="46">
        <f>WORKDAY(BM8,1,BD$33:BD$43)</f>
        <v>42374</v>
      </c>
      <c r="BO8" s="64" t="s">
        <v>63</v>
      </c>
      <c r="BP8" s="65">
        <f>+BQ8-BM8</f>
        <v>29</v>
      </c>
      <c r="BQ8" s="47">
        <v>42402</v>
      </c>
      <c r="BR8" s="46">
        <f>WORKDAY(BQ8,1,BH$33:BH$43)</f>
        <v>42403</v>
      </c>
      <c r="BS8" s="64" t="s">
        <v>63</v>
      </c>
      <c r="BT8" s="65">
        <f>+BU8-BQ8</f>
        <v>29</v>
      </c>
      <c r="BU8" s="47">
        <v>42431</v>
      </c>
      <c r="BV8" s="46">
        <f>WORKDAY(BU8,1,BL$33:BL$43)</f>
        <v>42432</v>
      </c>
      <c r="BW8" s="64" t="s">
        <v>63</v>
      </c>
      <c r="BX8" s="65">
        <f>+BY8-BU8</f>
        <v>30</v>
      </c>
      <c r="BY8" s="47">
        <v>42461</v>
      </c>
      <c r="BZ8" s="46">
        <f>WORKDAY(BY8,1)</f>
        <v>42464</v>
      </c>
      <c r="CA8" s="64" t="s">
        <v>63</v>
      </c>
      <c r="CB8" s="65">
        <f>+CC8-BY8</f>
        <v>31</v>
      </c>
      <c r="CC8" s="47">
        <v>42492</v>
      </c>
      <c r="CD8" s="46">
        <f>WORKDAY(CC8,1)</f>
        <v>42493</v>
      </c>
      <c r="CE8" s="64" t="s">
        <v>63</v>
      </c>
      <c r="CF8" s="65">
        <f>+CG8-CC8</f>
        <v>31</v>
      </c>
      <c r="CG8" s="47">
        <v>42523</v>
      </c>
      <c r="CH8" s="46">
        <f>WORKDAY(CG8,1)</f>
        <v>42524</v>
      </c>
      <c r="CI8" s="64" t="s">
        <v>63</v>
      </c>
      <c r="CJ8" s="65">
        <f>+CK8-CG8</f>
        <v>29</v>
      </c>
      <c r="CK8" s="47">
        <v>42552</v>
      </c>
      <c r="CL8" s="46">
        <f>WORKDAY(CK8,1)</f>
        <v>42555</v>
      </c>
      <c r="CM8" s="64" t="s">
        <v>63</v>
      </c>
      <c r="CN8" s="65">
        <f>+CO8-CK8</f>
        <v>32</v>
      </c>
      <c r="CO8" s="47">
        <v>42584</v>
      </c>
      <c r="CP8" s="46">
        <f>WORKDAY(CO8,1)</f>
        <v>42585</v>
      </c>
      <c r="CQ8" s="64" t="s">
        <v>63</v>
      </c>
      <c r="CR8" s="65">
        <f>+CS8-CO8</f>
        <v>30</v>
      </c>
      <c r="CS8" s="47">
        <v>42614</v>
      </c>
      <c r="CT8" s="46">
        <f>WORKDAY(CS8,1)</f>
        <v>42615</v>
      </c>
      <c r="CU8" s="64" t="s">
        <v>63</v>
      </c>
      <c r="CV8" s="65">
        <f>+CW8-CS8</f>
        <v>32</v>
      </c>
      <c r="CW8" s="47">
        <v>42646</v>
      </c>
      <c r="CX8" s="46">
        <f>WORKDAY(CW8,1)</f>
        <v>42647</v>
      </c>
      <c r="CY8" s="64" t="s">
        <v>63</v>
      </c>
      <c r="CZ8" s="65">
        <f>+DA8-CW8</f>
        <v>29</v>
      </c>
      <c r="DA8" s="47">
        <v>42675</v>
      </c>
      <c r="DB8" s="46">
        <f>WORKDAY(DA8,1)</f>
        <v>42676</v>
      </c>
      <c r="DC8" s="64" t="s">
        <v>63</v>
      </c>
      <c r="DD8" s="65">
        <f>+DE8-DA8</f>
        <v>31</v>
      </c>
      <c r="DE8" s="47">
        <v>42706</v>
      </c>
      <c r="DF8" s="46">
        <f>WORKDAY(DE8,1)</f>
        <v>42709</v>
      </c>
      <c r="DG8" s="64" t="s">
        <v>63</v>
      </c>
      <c r="DH8" s="65">
        <f>+DI8-DE8</f>
        <v>33</v>
      </c>
      <c r="DI8" s="47">
        <v>42739</v>
      </c>
      <c r="DJ8" s="46">
        <f>WORKDAY(DI8,1)</f>
        <v>42740</v>
      </c>
      <c r="DK8" s="64" t="s">
        <v>63</v>
      </c>
      <c r="DL8" s="65">
        <f>+DM8-DI8</f>
        <v>29</v>
      </c>
      <c r="DM8" s="47">
        <v>42768</v>
      </c>
      <c r="DN8" s="46">
        <f>WORKDAY(DM8,1)</f>
        <v>42769</v>
      </c>
      <c r="DO8" s="64" t="s">
        <v>63</v>
      </c>
      <c r="DP8" s="65">
        <f>+DQ8-DM8</f>
        <v>28</v>
      </c>
      <c r="DQ8" s="47">
        <v>42796</v>
      </c>
      <c r="DR8" s="46">
        <f>WORKDAY(DQ8,1)</f>
        <v>42797</v>
      </c>
      <c r="DS8" s="64" t="s">
        <v>63</v>
      </c>
      <c r="DT8" s="65">
        <f>+DU8-DQ8</f>
        <v>732</v>
      </c>
      <c r="DU8" s="47">
        <v>43528</v>
      </c>
      <c r="DV8" s="46">
        <f t="shared" si="0"/>
        <v>43529</v>
      </c>
      <c r="DW8" s="64" t="s">
        <v>63</v>
      </c>
      <c r="DX8" s="65">
        <f t="shared" si="1"/>
        <v>29</v>
      </c>
      <c r="DY8" s="47">
        <v>43557</v>
      </c>
      <c r="DZ8" s="46">
        <f t="shared" si="2"/>
        <v>43558</v>
      </c>
      <c r="EA8" s="64" t="s">
        <v>63</v>
      </c>
      <c r="EB8" s="65">
        <f>+EC8-DY8</f>
        <v>30</v>
      </c>
      <c r="EC8" s="47">
        <v>43587</v>
      </c>
      <c r="ED8" s="46">
        <f>WORKDAY(EC8,1)</f>
        <v>43588</v>
      </c>
      <c r="EE8" s="64" t="s">
        <v>63</v>
      </c>
      <c r="EF8" s="65">
        <f>+EG8-EC8</f>
        <v>33</v>
      </c>
      <c r="EG8" s="47">
        <v>43620</v>
      </c>
      <c r="EH8" s="46">
        <f>WORKDAY(EG8,1)</f>
        <v>43621</v>
      </c>
      <c r="EI8" s="64" t="s">
        <v>63</v>
      </c>
      <c r="EJ8" s="65">
        <f>+EK8-EG8</f>
        <v>28</v>
      </c>
      <c r="EK8" s="47">
        <v>43648</v>
      </c>
      <c r="EL8" s="46">
        <f>WORKDAY(EK8,1)</f>
        <v>43649</v>
      </c>
      <c r="EM8" s="64" t="s">
        <v>63</v>
      </c>
      <c r="EN8" s="65">
        <f>+EO8-EK8</f>
        <v>31</v>
      </c>
      <c r="EO8" s="47">
        <v>43679</v>
      </c>
      <c r="EP8" s="46">
        <f>WORKDAY(EO8,1)</f>
        <v>43682</v>
      </c>
      <c r="EQ8" s="64" t="s">
        <v>63</v>
      </c>
    </row>
    <row r="9" spans="1:147" x14ac:dyDescent="0.25">
      <c r="A9">
        <v>44</v>
      </c>
      <c r="C9" s="47">
        <v>39238</v>
      </c>
      <c r="D9" s="46">
        <f>WORKDAY(C9,1,$C$33:$C$42)</f>
        <v>39239</v>
      </c>
      <c r="E9" t="s">
        <v>64</v>
      </c>
      <c r="F9" s="47">
        <v>39330</v>
      </c>
      <c r="G9" s="46">
        <f>WORKDAY(F9,1,$C$33:$C$42)</f>
        <v>39331</v>
      </c>
      <c r="H9" t="s">
        <v>64</v>
      </c>
      <c r="I9" s="47">
        <v>39420</v>
      </c>
      <c r="J9" s="46">
        <f>WORKDAY(I9,1,$C$33:$C$42)</f>
        <v>39421</v>
      </c>
      <c r="K9" t="s">
        <v>64</v>
      </c>
      <c r="L9" s="47">
        <v>39511</v>
      </c>
      <c r="M9" s="46">
        <f>WORKDAY(L9,1,$L$33:$L$42)</f>
        <v>39512</v>
      </c>
      <c r="N9" t="s">
        <v>64</v>
      </c>
      <c r="O9" s="47">
        <v>39603</v>
      </c>
      <c r="P9" s="46">
        <f>WORKDAY(O9,1,$L$33:$L$42)</f>
        <v>39604</v>
      </c>
      <c r="Q9" t="s">
        <v>64</v>
      </c>
      <c r="R9" s="47">
        <v>39695</v>
      </c>
      <c r="S9" s="46">
        <f>WORKDAY(R9,1,$L$33:$L$42)</f>
        <v>39696</v>
      </c>
      <c r="T9" t="s">
        <v>64</v>
      </c>
      <c r="U9" s="47">
        <v>39786</v>
      </c>
      <c r="V9" s="46">
        <f>WORKDAY(U9,1,$L$33:$L$42)</f>
        <v>39787</v>
      </c>
      <c r="W9" t="s">
        <v>64</v>
      </c>
      <c r="X9" s="47">
        <v>39876</v>
      </c>
      <c r="Y9" s="46">
        <f>WORKDAY(X9,1,X$33:X$43)</f>
        <v>39877</v>
      </c>
      <c r="Z9" t="s">
        <v>64</v>
      </c>
      <c r="AA9" s="47">
        <v>39967</v>
      </c>
      <c r="AB9" s="46">
        <f>WORKDAY(AA9,1,$L$33:$L$43)</f>
        <v>39968</v>
      </c>
      <c r="AC9" t="s">
        <v>64</v>
      </c>
      <c r="AD9" s="47">
        <v>40059</v>
      </c>
      <c r="AE9" s="46">
        <f>WORKDAY(AD9,1,X$33:X$43)</f>
        <v>40060</v>
      </c>
      <c r="AF9" t="s">
        <v>64</v>
      </c>
      <c r="AG9" s="47">
        <v>40150</v>
      </c>
      <c r="AH9" s="46">
        <f>WORKDAY(AG9,1,X$33:X$43)</f>
        <v>40151</v>
      </c>
      <c r="AI9" t="s">
        <v>64</v>
      </c>
      <c r="AJ9" s="63"/>
      <c r="AK9" s="47">
        <v>42158</v>
      </c>
      <c r="AL9" s="46">
        <f>WORKDAY(AK9,1,AB$33:AB$43)</f>
        <v>42159</v>
      </c>
      <c r="AM9" s="64" t="s">
        <v>64</v>
      </c>
      <c r="AN9" s="65">
        <f>+AO9-AK9</f>
        <v>33</v>
      </c>
      <c r="AO9" s="47">
        <v>42191</v>
      </c>
      <c r="AP9" s="46">
        <f>WORKDAY(AO9,1,AF$33:AF$43)</f>
        <v>42192</v>
      </c>
      <c r="AQ9" s="64" t="s">
        <v>64</v>
      </c>
      <c r="AR9" s="65">
        <f>+AS9-AO9</f>
        <v>30</v>
      </c>
      <c r="AS9" s="47">
        <v>42221</v>
      </c>
      <c r="AT9" s="46">
        <f>WORKDAY(AS9,1,AJ$33:AJ$43)</f>
        <v>42222</v>
      </c>
      <c r="AU9" s="64" t="s">
        <v>64</v>
      </c>
      <c r="AV9" s="65">
        <f>+AW9-AS9</f>
        <v>29</v>
      </c>
      <c r="AW9" s="47">
        <v>42250</v>
      </c>
      <c r="AX9" s="46">
        <f>WORKDAY(AW9,1,AN$33:AN$43)</f>
        <v>42251</v>
      </c>
      <c r="AY9" s="64" t="s">
        <v>64</v>
      </c>
      <c r="AZ9" s="65">
        <f>+BA9-AW9</f>
        <v>32</v>
      </c>
      <c r="BA9" s="47">
        <v>42282</v>
      </c>
      <c r="BB9" s="46">
        <f>WORKDAY(BA9,1,AR$33:AR$43)</f>
        <v>42283</v>
      </c>
      <c r="BC9" s="64" t="s">
        <v>64</v>
      </c>
      <c r="BD9" s="65">
        <f>+BE9-BA9</f>
        <v>29</v>
      </c>
      <c r="BE9" s="47">
        <v>42311</v>
      </c>
      <c r="BF9" s="46">
        <f>WORKDAY(BE9,1,AV$33:AV$43)</f>
        <v>42312</v>
      </c>
      <c r="BG9" s="64" t="s">
        <v>64</v>
      </c>
      <c r="BH9" s="65">
        <f>+BI9-BE9</f>
        <v>30</v>
      </c>
      <c r="BI9" s="47">
        <v>42341</v>
      </c>
      <c r="BJ9" s="46">
        <f>WORKDAY(BI9,1,AZ$33:AZ$43)</f>
        <v>42342</v>
      </c>
      <c r="BK9" s="64" t="s">
        <v>64</v>
      </c>
      <c r="BL9" s="65">
        <f>+BM9-BI9</f>
        <v>33</v>
      </c>
      <c r="BM9" s="47">
        <v>42374</v>
      </c>
      <c r="BN9" s="46">
        <f>WORKDAY(BM9,1,BD$33:BD$43)</f>
        <v>42375</v>
      </c>
      <c r="BO9" s="64" t="s">
        <v>64</v>
      </c>
      <c r="BP9" s="65">
        <f>+BQ9-BM9</f>
        <v>29</v>
      </c>
      <c r="BQ9" s="66">
        <v>42403</v>
      </c>
      <c r="BR9" s="46">
        <f>WORKDAY(BQ9,1,BH$33:BH$43)</f>
        <v>42404</v>
      </c>
      <c r="BS9" s="64" t="s">
        <v>64</v>
      </c>
      <c r="BT9" s="65">
        <f>+BU9-BQ9</f>
        <v>29</v>
      </c>
      <c r="BU9" s="47">
        <v>42432</v>
      </c>
      <c r="BV9" s="46">
        <f>WORKDAY(BU9,1,BL$33:BL$43)</f>
        <v>42433</v>
      </c>
      <c r="BW9" s="64" t="s">
        <v>64</v>
      </c>
      <c r="BX9" s="65">
        <f>+BY9-BU9</f>
        <v>32</v>
      </c>
      <c r="BY9" s="47">
        <v>42464</v>
      </c>
      <c r="BZ9" s="46">
        <f>WORKDAY(BY9,1)</f>
        <v>42465</v>
      </c>
      <c r="CA9" s="64" t="s">
        <v>64</v>
      </c>
      <c r="CB9" s="65">
        <f>+CC9-BY9</f>
        <v>29</v>
      </c>
      <c r="CC9" s="47">
        <v>42493</v>
      </c>
      <c r="CD9" s="46">
        <f>WORKDAY(CC9,1)</f>
        <v>42494</v>
      </c>
      <c r="CE9" s="64" t="s">
        <v>64</v>
      </c>
      <c r="CF9" s="65">
        <f>+CG9-CC9</f>
        <v>31</v>
      </c>
      <c r="CG9" s="47">
        <v>42524</v>
      </c>
      <c r="CH9" s="46">
        <f>WORKDAY(CG9,1)</f>
        <v>42527</v>
      </c>
      <c r="CI9" s="64" t="s">
        <v>64</v>
      </c>
      <c r="CJ9" s="65">
        <f>+CK9-CG9</f>
        <v>32</v>
      </c>
      <c r="CK9" s="47">
        <v>42556</v>
      </c>
      <c r="CL9" s="46">
        <f>WORKDAY(CK9,1)</f>
        <v>42557</v>
      </c>
      <c r="CM9" s="64" t="s">
        <v>64</v>
      </c>
      <c r="CN9" s="65">
        <f>+CO9-CK9</f>
        <v>29</v>
      </c>
      <c r="CO9" s="47">
        <v>42585</v>
      </c>
      <c r="CP9" s="46">
        <f>WORKDAY(CO9,1)</f>
        <v>42586</v>
      </c>
      <c r="CQ9" s="64" t="s">
        <v>64</v>
      </c>
      <c r="CR9" s="65">
        <f>+CS9-CO9</f>
        <v>30</v>
      </c>
      <c r="CS9" s="47">
        <v>42615</v>
      </c>
      <c r="CT9" s="46">
        <f>WORKDAY(CS9,1)</f>
        <v>42618</v>
      </c>
      <c r="CU9" s="64" t="s">
        <v>64</v>
      </c>
      <c r="CV9" s="65">
        <f>+CW9-CS9</f>
        <v>32</v>
      </c>
      <c r="CW9" s="47">
        <v>42647</v>
      </c>
      <c r="CX9" s="46">
        <f>WORKDAY(CW9,1)</f>
        <v>42648</v>
      </c>
      <c r="CY9" s="64" t="s">
        <v>64</v>
      </c>
      <c r="CZ9" s="65">
        <f>+DA9-CW9</f>
        <v>29</v>
      </c>
      <c r="DA9" s="47">
        <v>42676</v>
      </c>
      <c r="DB9" s="46">
        <f>WORKDAY(DA9,1)</f>
        <v>42677</v>
      </c>
      <c r="DC9" s="64" t="s">
        <v>64</v>
      </c>
      <c r="DD9" s="65">
        <f>+DE9-DA9</f>
        <v>33</v>
      </c>
      <c r="DE9" s="47">
        <v>42709</v>
      </c>
      <c r="DF9" s="46">
        <f>WORKDAY(DE9,1)</f>
        <v>42710</v>
      </c>
      <c r="DG9" s="64" t="s">
        <v>64</v>
      </c>
      <c r="DH9" s="65">
        <f>+DI9-DE9</f>
        <v>31</v>
      </c>
      <c r="DI9" s="47">
        <v>42740</v>
      </c>
      <c r="DJ9" s="46">
        <f>WORKDAY(DI9,1)</f>
        <v>42741</v>
      </c>
      <c r="DK9" s="64" t="s">
        <v>64</v>
      </c>
      <c r="DL9" s="65">
        <f>+DM9-DI9</f>
        <v>29</v>
      </c>
      <c r="DM9" s="47">
        <v>42769</v>
      </c>
      <c r="DN9" s="46">
        <f>WORKDAY(DM9,1)</f>
        <v>42772</v>
      </c>
      <c r="DO9" s="64" t="s">
        <v>64</v>
      </c>
      <c r="DP9" s="65">
        <f>+DQ9-DM9</f>
        <v>28</v>
      </c>
      <c r="DQ9" s="47">
        <v>42797</v>
      </c>
      <c r="DR9" s="46">
        <f>WORKDAY(DQ9,1)</f>
        <v>42800</v>
      </c>
      <c r="DS9" s="64" t="s">
        <v>64</v>
      </c>
      <c r="DT9" s="65">
        <f>+DU9-DQ9</f>
        <v>732</v>
      </c>
      <c r="DU9" s="47">
        <v>43529</v>
      </c>
      <c r="DV9" s="46">
        <f t="shared" si="0"/>
        <v>43530</v>
      </c>
      <c r="DW9" s="64" t="s">
        <v>64</v>
      </c>
      <c r="DX9" s="65">
        <f t="shared" si="1"/>
        <v>29</v>
      </c>
      <c r="DY9" s="47">
        <v>43558</v>
      </c>
      <c r="DZ9" s="46">
        <f t="shared" si="2"/>
        <v>43559</v>
      </c>
      <c r="EA9" s="64" t="s">
        <v>64</v>
      </c>
      <c r="EB9" s="65">
        <f>+EC9-DY9</f>
        <v>30</v>
      </c>
      <c r="EC9" s="47">
        <v>43588</v>
      </c>
      <c r="ED9" s="46">
        <f>WORKDAY(EC9,1)</f>
        <v>43591</v>
      </c>
      <c r="EE9" s="64" t="s">
        <v>64</v>
      </c>
      <c r="EF9" s="65">
        <f>+EG9-EC9</f>
        <v>33</v>
      </c>
      <c r="EG9" s="47">
        <v>43621</v>
      </c>
      <c r="EH9" s="46">
        <f>WORKDAY(EG9,1)</f>
        <v>43622</v>
      </c>
      <c r="EI9" s="64" t="s">
        <v>64</v>
      </c>
      <c r="EJ9" s="65">
        <f>+EK9-EG9</f>
        <v>28</v>
      </c>
      <c r="EK9" s="47">
        <v>43649</v>
      </c>
      <c r="EL9" s="46">
        <f>WORKDAY(EK9,1)</f>
        <v>43650</v>
      </c>
      <c r="EM9" s="64" t="s">
        <v>64</v>
      </c>
      <c r="EN9" s="65">
        <f>+EO9-EK9</f>
        <v>33</v>
      </c>
      <c r="EO9" s="47">
        <v>43682</v>
      </c>
      <c r="EP9" s="46">
        <f>WORKDAY(EO9,1)</f>
        <v>43683</v>
      </c>
      <c r="EQ9" s="64" t="s">
        <v>64</v>
      </c>
    </row>
    <row r="10" spans="1:147" x14ac:dyDescent="0.25">
      <c r="C10" s="47"/>
      <c r="D10" s="46"/>
      <c r="F10" s="47"/>
      <c r="G10" s="46"/>
      <c r="I10" s="47"/>
      <c r="J10" s="46"/>
      <c r="L10" s="47"/>
      <c r="M10" s="46"/>
      <c r="O10" s="47"/>
      <c r="P10" s="46"/>
      <c r="R10" s="47"/>
      <c r="S10" s="46"/>
      <c r="U10" s="47"/>
      <c r="V10" s="46"/>
      <c r="X10" s="47"/>
      <c r="Y10" s="46"/>
      <c r="AA10" s="47"/>
      <c r="AB10" s="46"/>
      <c r="AD10" s="47"/>
      <c r="AE10" s="46"/>
      <c r="AG10" s="47"/>
      <c r="AH10" s="46"/>
      <c r="AJ10" s="63"/>
      <c r="AK10" s="47"/>
      <c r="AL10" s="46"/>
      <c r="AM10" s="64"/>
      <c r="AN10" s="65"/>
      <c r="AO10" s="47"/>
      <c r="AP10" s="46"/>
      <c r="AQ10" s="64"/>
      <c r="AR10" s="65"/>
      <c r="AS10" s="47"/>
      <c r="AT10" s="46"/>
      <c r="AU10" s="64"/>
      <c r="AV10" s="65"/>
      <c r="AW10" s="47"/>
      <c r="AX10" s="46"/>
      <c r="AY10" s="64"/>
      <c r="AZ10" s="65"/>
      <c r="BA10" s="47"/>
      <c r="BB10" s="46"/>
      <c r="BC10" s="64"/>
      <c r="BD10" s="65"/>
      <c r="BE10" s="47"/>
      <c r="BF10" s="46"/>
      <c r="BG10" s="64"/>
      <c r="BH10" s="65"/>
      <c r="BI10" s="47"/>
      <c r="BJ10" s="46"/>
      <c r="BK10" s="64"/>
      <c r="BL10" s="65"/>
      <c r="BM10" s="47"/>
      <c r="BN10" s="46"/>
      <c r="BO10" s="64"/>
      <c r="BP10" s="65"/>
      <c r="BQ10" s="66"/>
      <c r="BR10" s="46"/>
      <c r="BS10" s="64"/>
      <c r="BT10" s="65"/>
      <c r="BU10" s="47"/>
      <c r="BV10" s="46"/>
      <c r="BW10" s="64"/>
      <c r="BX10" s="65"/>
      <c r="BY10" s="47"/>
      <c r="BZ10" s="46"/>
      <c r="CA10" s="64"/>
      <c r="CB10" s="65"/>
      <c r="CC10" s="47"/>
      <c r="CD10" s="46"/>
      <c r="CE10" s="64"/>
      <c r="CF10" s="65"/>
      <c r="CG10" s="47"/>
      <c r="CH10" s="46"/>
      <c r="CI10" s="64"/>
      <c r="CJ10" s="65"/>
      <c r="CK10" s="47"/>
      <c r="CL10" s="46"/>
      <c r="CM10" s="64"/>
      <c r="CN10" s="65"/>
      <c r="CO10" s="47"/>
      <c r="CP10" s="46"/>
      <c r="CQ10" s="64"/>
      <c r="CR10" s="65"/>
      <c r="CS10" s="47"/>
      <c r="CT10" s="46"/>
      <c r="CU10" s="64"/>
      <c r="CV10" s="65"/>
      <c r="CW10" s="47"/>
      <c r="CX10" s="46"/>
      <c r="CY10" s="64"/>
      <c r="CZ10" s="65"/>
      <c r="DA10" s="47"/>
      <c r="DB10" s="46"/>
      <c r="DC10" s="64"/>
      <c r="DD10" s="65"/>
      <c r="DE10" s="47"/>
      <c r="DF10" s="46"/>
      <c r="DG10" s="64"/>
      <c r="DH10" s="65"/>
      <c r="DI10" s="47"/>
      <c r="DJ10" s="46"/>
      <c r="DK10" s="64"/>
      <c r="DL10" s="65"/>
      <c r="DM10" s="47"/>
      <c r="DN10" s="46"/>
      <c r="DO10" s="64"/>
      <c r="DP10" s="65"/>
      <c r="DQ10" s="47"/>
      <c r="DR10" s="46"/>
      <c r="DS10" s="64"/>
      <c r="DT10" s="65"/>
      <c r="DU10" s="47">
        <v>43530</v>
      </c>
      <c r="DV10" s="46">
        <f t="shared" si="0"/>
        <v>43531</v>
      </c>
      <c r="DW10" s="64"/>
      <c r="DX10" s="65">
        <f t="shared" si="1"/>
        <v>31</v>
      </c>
      <c r="DY10" s="47">
        <v>43561</v>
      </c>
      <c r="DZ10" s="46">
        <f t="shared" si="2"/>
        <v>43563</v>
      </c>
      <c r="EA10" s="64"/>
      <c r="EB10" s="65"/>
      <c r="EC10" s="47"/>
      <c r="ED10" s="46"/>
      <c r="EE10" s="64"/>
      <c r="EF10" s="65"/>
      <c r="EG10" s="47"/>
      <c r="EH10" s="46"/>
      <c r="EI10" s="64"/>
      <c r="EJ10" s="65"/>
      <c r="EK10" s="47"/>
      <c r="EL10" s="46"/>
      <c r="EM10" s="64"/>
      <c r="EN10" s="65"/>
      <c r="EO10" s="47"/>
      <c r="EP10" s="46"/>
      <c r="EQ10" s="64"/>
    </row>
    <row r="11" spans="1:147" x14ac:dyDescent="0.25">
      <c r="A11">
        <v>52</v>
      </c>
      <c r="C11" s="47"/>
      <c r="D11" s="46"/>
      <c r="F11" s="47"/>
      <c r="G11" s="46"/>
      <c r="I11" s="47"/>
      <c r="J11" s="46"/>
      <c r="L11" s="47"/>
      <c r="M11" s="46"/>
      <c r="O11" s="47"/>
      <c r="P11" s="46"/>
      <c r="R11" s="47"/>
      <c r="S11" s="46"/>
      <c r="U11" s="47"/>
      <c r="V11" s="46"/>
      <c r="X11" s="47"/>
      <c r="Y11" s="46"/>
      <c r="AA11" s="47"/>
      <c r="AB11" s="46"/>
      <c r="AD11" s="47"/>
      <c r="AE11" s="46"/>
      <c r="AG11" s="47"/>
      <c r="AH11" s="46"/>
      <c r="AJ11" s="63"/>
      <c r="AK11" s="47"/>
      <c r="AL11" s="46"/>
      <c r="AM11" s="64"/>
      <c r="AN11" s="65"/>
      <c r="AO11" s="47"/>
      <c r="AP11" s="46"/>
      <c r="AQ11" s="64"/>
      <c r="AR11" s="65"/>
      <c r="AS11" s="47">
        <v>42233</v>
      </c>
      <c r="AT11" s="46">
        <f>WORKDAY(AS11,1,AJ$33:AJ$43)</f>
        <v>42234</v>
      </c>
      <c r="AU11" s="71" t="s">
        <v>95</v>
      </c>
      <c r="AV11" s="65">
        <f>+AW11-AS11</f>
        <v>30</v>
      </c>
      <c r="AW11" s="47">
        <v>42263</v>
      </c>
      <c r="AX11" s="46">
        <f>WORKDAY(AW11,1,AN$33:AN$43)</f>
        <v>42264</v>
      </c>
      <c r="AY11" s="71" t="s">
        <v>95</v>
      </c>
      <c r="AZ11" s="65">
        <f>+BA11-AW11</f>
        <v>30</v>
      </c>
      <c r="BA11" s="47">
        <v>42293</v>
      </c>
      <c r="BB11" s="46">
        <f>WORKDAY(BA11,1,AR$33:AR$43)</f>
        <v>42296</v>
      </c>
      <c r="BC11" s="71" t="s">
        <v>95</v>
      </c>
      <c r="BD11" s="65">
        <f>+BE11-BA11</f>
        <v>28</v>
      </c>
      <c r="BE11" s="47">
        <v>42321</v>
      </c>
      <c r="BF11" s="46">
        <f>WORKDAY(BE11,1,AV$33:AV$43)</f>
        <v>42324</v>
      </c>
      <c r="BG11" s="71" t="s">
        <v>95</v>
      </c>
      <c r="BH11" s="65">
        <f>+BI11-BE11</f>
        <v>32</v>
      </c>
      <c r="BI11" s="47">
        <v>42353</v>
      </c>
      <c r="BJ11" s="46">
        <f>WORKDAY(BI11,1,AZ$33:AZ$43)</f>
        <v>42354</v>
      </c>
      <c r="BK11" s="71" t="s">
        <v>95</v>
      </c>
      <c r="BL11" s="65">
        <f>+BM11-BI11</f>
        <v>31</v>
      </c>
      <c r="BM11" s="47">
        <v>42384</v>
      </c>
      <c r="BN11" s="46">
        <f>WORKDAY(BM11,1,BD$33:BD$43)</f>
        <v>42387</v>
      </c>
      <c r="BO11" s="71" t="s">
        <v>95</v>
      </c>
      <c r="BP11" s="65">
        <f>+BQ11-BM11</f>
        <v>31</v>
      </c>
      <c r="BQ11" s="66">
        <v>42415</v>
      </c>
      <c r="BR11" s="46">
        <f>WORKDAY(BQ11,1,BH$33:BH$43)</f>
        <v>42416</v>
      </c>
      <c r="BS11" s="71" t="s">
        <v>95</v>
      </c>
      <c r="BT11" s="65">
        <f>+BU11-BQ11</f>
        <v>30</v>
      </c>
      <c r="BU11" s="47">
        <v>42445</v>
      </c>
      <c r="BV11" s="46">
        <f>WORKDAY(BU11,1,BL$33:BL$43)</f>
        <v>42446</v>
      </c>
      <c r="BW11" s="71" t="s">
        <v>95</v>
      </c>
      <c r="BX11" s="65">
        <f>+BY11-BU11</f>
        <v>29</v>
      </c>
      <c r="BY11" s="47">
        <v>42474</v>
      </c>
      <c r="BZ11" s="46">
        <f>WORKDAY(BY11,1)</f>
        <v>42475</v>
      </c>
      <c r="CA11" s="71" t="s">
        <v>95</v>
      </c>
      <c r="CB11" s="65">
        <f>+CC11-BY11</f>
        <v>32</v>
      </c>
      <c r="CC11" s="47">
        <v>42506</v>
      </c>
      <c r="CD11" s="46">
        <f>WORKDAY(CC11,1)</f>
        <v>42507</v>
      </c>
      <c r="CE11" s="71" t="s">
        <v>95</v>
      </c>
      <c r="CF11" s="65">
        <f>+CG11-CC11</f>
        <v>30</v>
      </c>
      <c r="CG11" s="47">
        <v>42536</v>
      </c>
      <c r="CH11" s="46">
        <f>WORKDAY(CG11,1)</f>
        <v>42537</v>
      </c>
      <c r="CI11" s="71" t="s">
        <v>95</v>
      </c>
      <c r="CJ11" s="65">
        <f>+CK11-CG11</f>
        <v>30</v>
      </c>
      <c r="CK11" s="47">
        <v>42566</v>
      </c>
      <c r="CL11" s="46">
        <f>WORKDAY(CK11,1)</f>
        <v>42569</v>
      </c>
      <c r="CM11" s="71" t="s">
        <v>95</v>
      </c>
      <c r="CN11" s="65">
        <f>+CO11-CK11</f>
        <v>32</v>
      </c>
      <c r="CO11" s="47">
        <v>42598</v>
      </c>
      <c r="CP11" s="46">
        <f>WORKDAY(CO11,1)</f>
        <v>42599</v>
      </c>
      <c r="CQ11" s="71" t="s">
        <v>95</v>
      </c>
      <c r="CR11" s="65">
        <f>+CS11-CO11</f>
        <v>30</v>
      </c>
      <c r="CS11" s="47">
        <v>42628</v>
      </c>
      <c r="CT11" s="46">
        <f>WORKDAY(CS11,1)</f>
        <v>42629</v>
      </c>
      <c r="CU11" s="71" t="s">
        <v>95</v>
      </c>
      <c r="CV11" s="65">
        <f>+CW11-CS11</f>
        <v>29</v>
      </c>
      <c r="CW11" s="47">
        <v>42657</v>
      </c>
      <c r="CX11" s="46">
        <f>WORKDAY(CW11,1)</f>
        <v>42660</v>
      </c>
      <c r="CY11" s="71" t="s">
        <v>95</v>
      </c>
      <c r="CZ11" s="65">
        <f>+DA11-CW11</f>
        <v>32</v>
      </c>
      <c r="DA11" s="47">
        <v>42689</v>
      </c>
      <c r="DB11" s="46">
        <f>WORKDAY(DA11,1)</f>
        <v>42690</v>
      </c>
      <c r="DC11" s="71" t="s">
        <v>95</v>
      </c>
      <c r="DD11" s="65">
        <f>+DE11-DA11</f>
        <v>30</v>
      </c>
      <c r="DE11" s="47">
        <v>42719</v>
      </c>
      <c r="DF11" s="46">
        <f>WORKDAY(DE11,1)</f>
        <v>42720</v>
      </c>
      <c r="DG11" s="71" t="s">
        <v>95</v>
      </c>
      <c r="DH11" s="65">
        <f>+DI11-DE11</f>
        <v>34</v>
      </c>
      <c r="DI11" s="47">
        <v>42753</v>
      </c>
      <c r="DJ11" s="46">
        <f>WORKDAY(DI11,1)</f>
        <v>42754</v>
      </c>
      <c r="DK11" s="71" t="s">
        <v>95</v>
      </c>
      <c r="DL11" s="65">
        <f>+DM11-DI11</f>
        <v>28</v>
      </c>
      <c r="DM11" s="47">
        <v>42781</v>
      </c>
      <c r="DN11" s="46">
        <f>WORKDAY(DM11,1)</f>
        <v>42782</v>
      </c>
      <c r="DO11" s="71" t="s">
        <v>95</v>
      </c>
      <c r="DP11" s="65">
        <f>+DQ11-DM11</f>
        <v>29</v>
      </c>
      <c r="DQ11" s="47">
        <v>42810</v>
      </c>
      <c r="DR11" s="46">
        <f>WORKDAY(DQ11,1)</f>
        <v>42811</v>
      </c>
      <c r="DS11" s="71" t="s">
        <v>95</v>
      </c>
      <c r="DT11" s="65">
        <f>+DU11-DQ11</f>
        <v>728</v>
      </c>
      <c r="DU11" s="47">
        <v>43538</v>
      </c>
      <c r="DV11" s="46">
        <f t="shared" si="0"/>
        <v>43539</v>
      </c>
      <c r="DW11" s="71" t="s">
        <v>95</v>
      </c>
      <c r="DX11" s="65">
        <f t="shared" si="1"/>
        <v>33</v>
      </c>
      <c r="DY11" s="47">
        <v>43571</v>
      </c>
      <c r="DZ11" s="46">
        <f t="shared" si="2"/>
        <v>43572</v>
      </c>
      <c r="EA11" s="71" t="s">
        <v>95</v>
      </c>
      <c r="EB11" s="65">
        <f>+EC11-DY11</f>
        <v>30</v>
      </c>
      <c r="EC11" s="47">
        <v>43601</v>
      </c>
      <c r="ED11" s="46">
        <f>WORKDAY(EC11,1)</f>
        <v>43602</v>
      </c>
      <c r="EE11" s="71" t="s">
        <v>95</v>
      </c>
      <c r="EF11" s="65">
        <f>+EG11-EC11</f>
        <v>32</v>
      </c>
      <c r="EG11" s="47">
        <v>43633</v>
      </c>
      <c r="EH11" s="46">
        <f>WORKDAY(EG11,1)</f>
        <v>43634</v>
      </c>
      <c r="EI11" s="71" t="s">
        <v>95</v>
      </c>
      <c r="EJ11" s="65">
        <f>+EK11-EG11</f>
        <v>30</v>
      </c>
      <c r="EK11" s="47">
        <v>43663</v>
      </c>
      <c r="EL11" s="46">
        <f>WORKDAY(EK11,1)</f>
        <v>43664</v>
      </c>
      <c r="EM11" s="71" t="s">
        <v>95</v>
      </c>
      <c r="EN11" s="65">
        <f>+EO11-EK11</f>
        <v>30</v>
      </c>
      <c r="EO11" s="47">
        <v>43693</v>
      </c>
      <c r="EP11" s="46">
        <f>WORKDAY(EO11,1)</f>
        <v>43696</v>
      </c>
      <c r="EQ11" s="71" t="s">
        <v>95</v>
      </c>
    </row>
    <row r="12" spans="1:147" x14ac:dyDescent="0.25">
      <c r="C12" s="47"/>
      <c r="D12" s="46"/>
      <c r="F12" s="47"/>
      <c r="G12" s="46"/>
      <c r="I12" s="47"/>
      <c r="J12" s="46"/>
      <c r="L12" s="47"/>
      <c r="M12" s="46"/>
      <c r="O12" s="47"/>
      <c r="P12" s="46"/>
      <c r="R12" s="47"/>
      <c r="S12" s="46"/>
      <c r="U12" s="47"/>
      <c r="V12" s="46"/>
      <c r="X12" s="47"/>
      <c r="Y12" s="46"/>
      <c r="AA12" s="47"/>
      <c r="AB12" s="46"/>
      <c r="AD12" s="47"/>
      <c r="AE12" s="46"/>
      <c r="AG12" s="47"/>
      <c r="AH12" s="46"/>
      <c r="AJ12" s="63"/>
      <c r="AK12" s="47"/>
      <c r="AL12" s="46"/>
      <c r="AM12" s="64"/>
      <c r="AN12" s="63"/>
      <c r="AO12" s="47"/>
      <c r="AP12" s="46"/>
      <c r="AQ12" s="64"/>
      <c r="AR12" s="63"/>
      <c r="AS12" s="47"/>
      <c r="AT12" s="46"/>
      <c r="AU12" s="64"/>
      <c r="AV12" s="63"/>
      <c r="AW12" s="47"/>
      <c r="AX12" s="46"/>
      <c r="AY12" s="64"/>
      <c r="AZ12" s="63"/>
      <c r="BA12" s="47"/>
      <c r="BB12" s="46"/>
      <c r="BC12" s="64"/>
      <c r="BD12" s="63"/>
      <c r="BE12" s="47"/>
      <c r="BF12" s="46"/>
      <c r="BG12" s="64"/>
      <c r="BH12" s="63"/>
      <c r="BI12" s="47"/>
      <c r="BJ12" s="46"/>
      <c r="BK12" s="64"/>
      <c r="BL12" s="63"/>
      <c r="BM12" s="47"/>
      <c r="BN12" s="46"/>
      <c r="BO12" s="64"/>
      <c r="BP12" s="63"/>
      <c r="BQ12" s="47"/>
      <c r="BR12" s="46"/>
      <c r="BS12" s="64"/>
      <c r="BT12" s="63"/>
      <c r="BU12" s="47"/>
      <c r="BV12" s="46"/>
      <c r="BW12" s="64"/>
      <c r="BX12" s="63"/>
      <c r="BY12" s="47"/>
      <c r="BZ12" s="46"/>
      <c r="CA12" s="64"/>
      <c r="CB12" s="63"/>
      <c r="CC12" s="47"/>
      <c r="CD12" s="46"/>
      <c r="CE12" s="64"/>
      <c r="CF12" s="63"/>
      <c r="CG12" s="47"/>
      <c r="CH12" s="46"/>
      <c r="CI12" s="64"/>
      <c r="CJ12" s="63"/>
      <c r="CK12" s="47"/>
      <c r="CL12" s="46"/>
      <c r="CM12" s="64"/>
      <c r="CN12" s="63"/>
      <c r="CO12" s="47"/>
      <c r="CP12" s="46"/>
      <c r="CQ12" s="64"/>
      <c r="CR12" s="63"/>
      <c r="CS12" s="47"/>
      <c r="CT12" s="46"/>
      <c r="CU12" s="64"/>
      <c r="CV12" s="63"/>
      <c r="CW12" s="47"/>
      <c r="CX12" s="46"/>
      <c r="CY12" s="64"/>
      <c r="CZ12" s="63"/>
      <c r="DA12" s="47"/>
      <c r="DB12" s="46"/>
      <c r="DC12" s="64"/>
      <c r="DD12" s="63"/>
      <c r="DE12" s="47"/>
      <c r="DF12" s="46"/>
      <c r="DG12" s="64"/>
      <c r="DH12" s="63"/>
      <c r="DI12" s="47"/>
      <c r="DJ12" s="46"/>
      <c r="DK12" s="64"/>
      <c r="DL12" s="63"/>
      <c r="DM12" s="47"/>
      <c r="DN12" s="46"/>
      <c r="DO12" s="64"/>
      <c r="DP12" s="63"/>
      <c r="DQ12" s="47"/>
      <c r="DR12" s="46"/>
      <c r="DS12" s="64"/>
      <c r="DT12" s="63"/>
      <c r="DU12" s="47"/>
      <c r="DV12" s="46"/>
      <c r="DW12" s="64"/>
      <c r="DX12" s="63"/>
      <c r="DY12" s="47"/>
      <c r="DZ12" s="46"/>
      <c r="EA12" s="64"/>
      <c r="EB12" s="63"/>
      <c r="EC12" s="47"/>
      <c r="ED12" s="46"/>
      <c r="EE12" s="64"/>
      <c r="EF12" s="63"/>
      <c r="EG12" s="47"/>
      <c r="EH12" s="46"/>
      <c r="EI12" s="64"/>
      <c r="EJ12" s="63"/>
      <c r="EK12" s="47"/>
      <c r="EL12" s="46"/>
      <c r="EM12" s="64"/>
      <c r="EN12" s="63"/>
      <c r="EO12" s="47"/>
      <c r="EP12" s="46"/>
      <c r="EQ12" s="64"/>
    </row>
    <row r="13" spans="1:147" x14ac:dyDescent="0.25">
      <c r="A13" t="s">
        <v>61</v>
      </c>
      <c r="C13" s="10"/>
      <c r="F13" s="10"/>
      <c r="I13" s="10"/>
      <c r="L13" s="10"/>
      <c r="O13" s="10"/>
      <c r="R13" s="10"/>
      <c r="U13" s="10"/>
      <c r="X13" s="10"/>
      <c r="AA13" s="10"/>
      <c r="AD13" s="10"/>
      <c r="AG13" s="10"/>
      <c r="AJ13" s="63"/>
      <c r="AK13" s="10"/>
      <c r="AM13" s="64"/>
      <c r="AN13" s="63"/>
      <c r="AO13" s="10"/>
      <c r="AQ13" s="64"/>
      <c r="AR13" s="63"/>
      <c r="AS13" s="10"/>
      <c r="AU13" s="64"/>
      <c r="AV13" s="63"/>
      <c r="AW13" s="10"/>
      <c r="AY13" s="64"/>
      <c r="AZ13" s="63"/>
      <c r="BA13" s="10"/>
      <c r="BC13" s="64"/>
      <c r="BD13" s="63"/>
      <c r="BE13" s="10"/>
      <c r="BG13" s="64"/>
      <c r="BH13" s="63"/>
      <c r="BI13" s="10"/>
      <c r="BK13" s="64"/>
      <c r="BL13" s="63"/>
      <c r="BM13" s="10"/>
      <c r="BO13" s="64"/>
      <c r="BP13" s="63"/>
      <c r="BQ13" s="10"/>
      <c r="BS13" s="64"/>
      <c r="BT13" s="63"/>
      <c r="BU13" s="10"/>
      <c r="BW13" s="64"/>
      <c r="BX13" s="63"/>
      <c r="BY13" s="10"/>
      <c r="BZ13" s="46"/>
      <c r="CA13" s="64"/>
      <c r="CB13" s="63"/>
      <c r="CC13" s="10"/>
      <c r="CE13" s="64"/>
      <c r="CF13" s="63"/>
      <c r="CG13" s="10"/>
      <c r="CI13" s="64"/>
      <c r="CJ13" s="63"/>
      <c r="CK13" s="10"/>
      <c r="CM13" s="64"/>
      <c r="CN13" s="63"/>
      <c r="CO13" s="10"/>
      <c r="CQ13" s="64"/>
      <c r="CR13" s="63"/>
      <c r="CS13" s="10"/>
      <c r="CU13" s="64"/>
      <c r="CV13" s="63"/>
      <c r="CW13" s="10"/>
      <c r="CY13" s="64"/>
      <c r="CZ13" s="63"/>
      <c r="DA13" s="10"/>
      <c r="DC13" s="64"/>
      <c r="DD13" s="63"/>
      <c r="DE13" s="10"/>
      <c r="DG13" s="64"/>
      <c r="DH13" s="63"/>
      <c r="DI13" s="10"/>
      <c r="DK13" s="64"/>
      <c r="DL13" s="63"/>
      <c r="DM13" s="10"/>
      <c r="DO13" s="64"/>
      <c r="DP13" s="63"/>
      <c r="DQ13" s="10"/>
      <c r="DS13" s="64"/>
      <c r="DT13" s="63"/>
      <c r="DU13" s="10"/>
      <c r="DW13" s="64"/>
      <c r="DX13" s="63"/>
      <c r="DY13" s="10"/>
      <c r="EA13" s="64"/>
      <c r="EB13" s="63"/>
      <c r="EC13" s="10"/>
      <c r="EE13" s="64"/>
      <c r="EF13" s="63"/>
      <c r="EG13" s="10"/>
      <c r="EI13" s="64"/>
      <c r="EJ13" s="63"/>
      <c r="EK13" s="10"/>
      <c r="EM13" s="64"/>
      <c r="EN13" s="63"/>
      <c r="EO13" s="10"/>
      <c r="EQ13" s="64"/>
    </row>
    <row r="14" spans="1:147" x14ac:dyDescent="0.25">
      <c r="A14">
        <v>1</v>
      </c>
      <c r="C14" s="47">
        <v>39233</v>
      </c>
      <c r="D14" s="46">
        <f>WORKDAY(C14,2,$C$33:$C$42)</f>
        <v>39237</v>
      </c>
      <c r="E14" t="str">
        <f>IF(D14=D7,"(a)")</f>
        <v>(a)</v>
      </c>
      <c r="F14" s="47">
        <v>39324</v>
      </c>
      <c r="G14" s="46">
        <f>WORKDAY(F14,2,$C$33:$C$42)</f>
        <v>39329</v>
      </c>
      <c r="H14" t="str">
        <f>IF(G14=G7,"(a)")</f>
        <v>(a)</v>
      </c>
      <c r="I14" s="47">
        <v>39415</v>
      </c>
      <c r="J14" s="46">
        <f>WORKDAY(I14,2,$C$33:$C$42)</f>
        <v>39419</v>
      </c>
      <c r="K14" t="str">
        <f>IF(J14=J7,"(a)")</f>
        <v>(a)</v>
      </c>
      <c r="L14" s="47">
        <v>39506</v>
      </c>
      <c r="M14" s="46">
        <f>WORKDAY(L14,2,$L$33:$L$42)</f>
        <v>39510</v>
      </c>
      <c r="N14" t="str">
        <f>IF(M14=M7,"(a)")</f>
        <v>(a)</v>
      </c>
      <c r="O14" s="47">
        <v>39598</v>
      </c>
      <c r="P14" s="46">
        <f>WORKDAY(O14,2,$L$33:$L$42)</f>
        <v>39602</v>
      </c>
      <c r="Q14" t="str">
        <f>IF(P14=P7,"(a)")</f>
        <v>(a)</v>
      </c>
      <c r="R14" s="47">
        <v>39689</v>
      </c>
      <c r="S14" s="46">
        <f>WORKDAY(R14,2,$L$33:$L$42)</f>
        <v>39694</v>
      </c>
      <c r="T14" t="str">
        <f>IF(S14=S7,"(a)")</f>
        <v>(a)</v>
      </c>
      <c r="U14" s="47">
        <v>39783</v>
      </c>
      <c r="V14" s="46">
        <f>WORKDAY(U14,2,$L$33:$L$42)</f>
        <v>39785</v>
      </c>
      <c r="W14" t="str">
        <f>IF(V14=V7,"(a)")</f>
        <v>(a)</v>
      </c>
      <c r="X14" s="47">
        <v>39871</v>
      </c>
      <c r="Y14" s="46">
        <f>WORKDAY(X14,2,X$33:X$43)</f>
        <v>39875</v>
      </c>
      <c r="Z14" t="str">
        <f>IF(Y14=Y7,"(a)")</f>
        <v>(a)</v>
      </c>
      <c r="AA14" s="47">
        <v>39962</v>
      </c>
      <c r="AB14" s="46">
        <f>WORKDAY(AA14,2,$L$33:$L$43)</f>
        <v>39966</v>
      </c>
      <c r="AC14" t="str">
        <f>IF(AB14=AB7,"(a)")</f>
        <v>(a)</v>
      </c>
      <c r="AD14" s="47">
        <v>40056</v>
      </c>
      <c r="AE14" s="46">
        <f>WORKDAY(AD14,2,X$33:X$43)</f>
        <v>40058</v>
      </c>
      <c r="AF14" t="str">
        <f>IF(AE14=AE7,"(a)")</f>
        <v>(a)</v>
      </c>
      <c r="AG14" s="47">
        <v>40147</v>
      </c>
      <c r="AH14" s="46">
        <f>WORKDAY(AG14,2,X$33:X$43)</f>
        <v>40149</v>
      </c>
      <c r="AI14" t="str">
        <f>IF(AH14=AH7,"(a)")</f>
        <v>(a)</v>
      </c>
      <c r="AJ14" s="63"/>
      <c r="AK14" s="47">
        <v>42153</v>
      </c>
      <c r="AL14" s="46">
        <f>WORKDAY(AK14,2,AB$33:AB$43)</f>
        <v>42157</v>
      </c>
      <c r="AM14" s="64" t="str">
        <f>IF(AL14=AL7,"(a)")</f>
        <v>(a)</v>
      </c>
      <c r="AN14" s="65">
        <f>+AO14-AK14</f>
        <v>32</v>
      </c>
      <c r="AO14" s="47">
        <v>42185</v>
      </c>
      <c r="AP14" s="46">
        <f>WORKDAY(AO14,2,AF$33:AF$43)</f>
        <v>42187</v>
      </c>
      <c r="AQ14" s="64" t="str">
        <f>IF(AP14=AP7,"(a)")</f>
        <v>(a)</v>
      </c>
      <c r="AR14" s="65">
        <f>+AS14-AO14</f>
        <v>31</v>
      </c>
      <c r="AS14" s="47">
        <v>42216</v>
      </c>
      <c r="AT14" s="46">
        <f>WORKDAY(AS14,2,AJ$33:AJ$43)</f>
        <v>42220</v>
      </c>
      <c r="AU14" s="64" t="str">
        <f>IF(AT14=AT7,"(a)")</f>
        <v>(a)</v>
      </c>
      <c r="AV14" s="65">
        <f>+AW14-AS14</f>
        <v>31</v>
      </c>
      <c r="AW14" s="47">
        <v>42247</v>
      </c>
      <c r="AX14" s="46">
        <f>WORKDAY(AW14,2,AN$33:AN$43)</f>
        <v>42249</v>
      </c>
      <c r="AY14" s="64" t="str">
        <f>IF(AX14=AX7,"(a)")</f>
        <v>(a)</v>
      </c>
      <c r="AZ14" s="65">
        <f>+BA14-AW14</f>
        <v>30</v>
      </c>
      <c r="BA14" s="47">
        <v>42277</v>
      </c>
      <c r="BB14" s="46">
        <f>WORKDAY(BA14,2,AR$33:AR$43)</f>
        <v>42279</v>
      </c>
      <c r="BC14" s="64" t="str">
        <f>IF(BB14=BB7,"(a)")</f>
        <v>(a)</v>
      </c>
      <c r="BD14" s="65">
        <f>+BE14-BA14</f>
        <v>29</v>
      </c>
      <c r="BE14" s="47">
        <v>42306</v>
      </c>
      <c r="BF14" s="46">
        <f>WORKDAY(BE14,2,AV$33:AV$43)</f>
        <v>42310</v>
      </c>
      <c r="BG14" s="64" t="str">
        <f>IF(BF14=BF7,"(a)")</f>
        <v>(a)</v>
      </c>
      <c r="BH14" s="65">
        <f>+BI14-BE14</f>
        <v>32</v>
      </c>
      <c r="BI14" s="47">
        <v>42338</v>
      </c>
      <c r="BJ14" s="46">
        <f>WORKDAY(BI14,2,AZ$33:AZ$43)</f>
        <v>42340</v>
      </c>
      <c r="BK14" s="64" t="str">
        <f>IF(BJ14=BJ7,"(a)")</f>
        <v>(a)</v>
      </c>
      <c r="BL14" s="65">
        <f>+BM14-BI14</f>
        <v>30</v>
      </c>
      <c r="BM14" s="47">
        <v>42368</v>
      </c>
      <c r="BN14" s="72">
        <f>WORKDAY(BM14,3,BD$33:BD$43)</f>
        <v>42373</v>
      </c>
      <c r="BO14" s="64" t="str">
        <f>IF(BN14=BN7,"(a)")</f>
        <v>(a)</v>
      </c>
      <c r="BP14" s="65">
        <f>+BQ14-BM14</f>
        <v>30</v>
      </c>
      <c r="BQ14" s="47">
        <v>42398</v>
      </c>
      <c r="BR14" s="46">
        <f>WORKDAY(BQ14,2,BH$33:BH$43)</f>
        <v>42402</v>
      </c>
      <c r="BS14" s="64" t="str">
        <f>IF(BR14=BR7,"(a)")</f>
        <v>(a)</v>
      </c>
      <c r="BT14" s="65">
        <f>+BU14-BQ14</f>
        <v>31</v>
      </c>
      <c r="BU14" s="47">
        <v>42429</v>
      </c>
      <c r="BV14" s="46">
        <f>WORKDAY(BU14,2,BL$33:BL$43)</f>
        <v>42431</v>
      </c>
      <c r="BW14" s="64" t="str">
        <f>IF(BV14=BV7,"(a)")</f>
        <v>(a)</v>
      </c>
      <c r="BX14" s="65">
        <f>+BY14-BU14</f>
        <v>30</v>
      </c>
      <c r="BY14" s="47">
        <v>42459</v>
      </c>
      <c r="BZ14" s="46">
        <f>WORKDAY(BY14,2)</f>
        <v>42461</v>
      </c>
      <c r="CA14" s="64" t="str">
        <f>IF(BZ14=BZ7,"(a)")</f>
        <v>(a)</v>
      </c>
      <c r="CB14" s="65">
        <f>+CC14-BY14</f>
        <v>29</v>
      </c>
      <c r="CC14" s="47">
        <v>42488</v>
      </c>
      <c r="CD14" s="46">
        <f>WORKDAY(CC14,2)</f>
        <v>42492</v>
      </c>
      <c r="CE14" s="64" t="str">
        <f>IF(CD14=CD7,"(a)")</f>
        <v>(a)</v>
      </c>
      <c r="CF14" s="65">
        <f>+CG14-CC14</f>
        <v>33</v>
      </c>
      <c r="CG14" s="47">
        <v>42521</v>
      </c>
      <c r="CH14" s="46">
        <f>WORKDAY(CG14,2)</f>
        <v>42523</v>
      </c>
      <c r="CI14" s="64" t="str">
        <f>IF(CH14=CH7,"(a)")</f>
        <v>(a)</v>
      </c>
      <c r="CJ14" s="65">
        <f>+CK14-CG14</f>
        <v>29</v>
      </c>
      <c r="CK14" s="47">
        <v>42550</v>
      </c>
      <c r="CL14" s="46">
        <f>WORKDAY(CK14,2)</f>
        <v>42552</v>
      </c>
      <c r="CM14" s="64" t="str">
        <f>IF(CL14=CL7,"(a)")</f>
        <v>(a)</v>
      </c>
      <c r="CN14" s="65">
        <f>+CO14-CK14</f>
        <v>30</v>
      </c>
      <c r="CO14" s="47">
        <v>42580</v>
      </c>
      <c r="CP14" s="46">
        <f>WORKDAY(CO14,2)</f>
        <v>42584</v>
      </c>
      <c r="CQ14" s="64" t="str">
        <f>IF(CP14=CP7,"(a)")</f>
        <v>(a)</v>
      </c>
      <c r="CR14" s="65">
        <f>+CS14-CO14</f>
        <v>32</v>
      </c>
      <c r="CS14" s="47">
        <v>42612</v>
      </c>
      <c r="CT14" s="46">
        <f>WORKDAY(CS14,2)</f>
        <v>42614</v>
      </c>
      <c r="CU14" s="64" t="str">
        <f>IF(CT14=CT7,"(a)")</f>
        <v>(a)</v>
      </c>
      <c r="CV14" s="65">
        <f>+CW14-CS14</f>
        <v>30</v>
      </c>
      <c r="CW14" s="47">
        <v>42642</v>
      </c>
      <c r="CX14" s="46">
        <f>WORKDAY(CW14,2)</f>
        <v>42646</v>
      </c>
      <c r="CY14" s="64" t="str">
        <f>IF(CX14=CX7,"(a)")</f>
        <v>(a)</v>
      </c>
      <c r="CZ14" s="65">
        <f>+DA14-CW14</f>
        <v>29</v>
      </c>
      <c r="DA14" s="47">
        <v>42671</v>
      </c>
      <c r="DB14" s="46">
        <f>WORKDAY(DA14,2)</f>
        <v>42675</v>
      </c>
      <c r="DC14" s="64" t="str">
        <f>IF(DB14=DB7,"(a)")</f>
        <v>(a)</v>
      </c>
      <c r="DD14" s="65">
        <f>+DE14-DA14</f>
        <v>33</v>
      </c>
      <c r="DE14" s="47">
        <v>42704</v>
      </c>
      <c r="DF14" s="46">
        <f>WORKDAY(DE14,2)</f>
        <v>42706</v>
      </c>
      <c r="DG14" s="64" t="str">
        <f>IF(DF14=DF7,"(a)")</f>
        <v>(a)</v>
      </c>
      <c r="DH14" s="65">
        <f>+DI14-DE14</f>
        <v>30</v>
      </c>
      <c r="DI14" s="47">
        <v>42734</v>
      </c>
      <c r="DJ14" s="46">
        <f>WORKDAY(DI14,2)</f>
        <v>42738</v>
      </c>
      <c r="DK14" s="64" t="b">
        <f>IF(DJ14=DJ7,"(a)")</f>
        <v>0</v>
      </c>
      <c r="DL14" s="65">
        <f>+DM14-DI14</f>
        <v>32</v>
      </c>
      <c r="DM14" s="47">
        <v>42766</v>
      </c>
      <c r="DN14" s="46">
        <f>WORKDAY(DM14,2)</f>
        <v>42768</v>
      </c>
      <c r="DO14" s="64" t="str">
        <f>IF(DN14=DN7,"(a)")</f>
        <v>(a)</v>
      </c>
      <c r="DP14" s="65">
        <f>+DQ14-DM14</f>
        <v>28</v>
      </c>
      <c r="DQ14" s="47">
        <v>42794</v>
      </c>
      <c r="DR14" s="46">
        <f>WORKDAY(DQ14,2)</f>
        <v>42796</v>
      </c>
      <c r="DS14" s="64" t="str">
        <f>IF(DR14=DR7,"(a)")</f>
        <v>(a)</v>
      </c>
      <c r="DT14" s="65">
        <f>+DU14-DQ14</f>
        <v>730</v>
      </c>
      <c r="DU14" s="47">
        <v>43524</v>
      </c>
      <c r="DV14" s="46">
        <f>WORKDAY(DU14,2)</f>
        <v>43528</v>
      </c>
      <c r="DW14" s="64" t="str">
        <f>IF(DV14=DV7,"(a)")</f>
        <v>(a)</v>
      </c>
      <c r="DX14" s="65">
        <f>+DY14-DU14</f>
        <v>29</v>
      </c>
      <c r="DY14" s="47">
        <v>43553</v>
      </c>
      <c r="DZ14" s="46">
        <f>WORKDAY(DY14,2)</f>
        <v>43557</v>
      </c>
      <c r="EA14" s="64" t="str">
        <f>IF(DZ14=DZ7,"(a)")</f>
        <v>(a)</v>
      </c>
      <c r="EB14" s="65">
        <f>+EC14-DY14</f>
        <v>32</v>
      </c>
      <c r="EC14" s="47">
        <v>43585</v>
      </c>
      <c r="ED14" s="46">
        <f>WORKDAY(EC14,2)</f>
        <v>43587</v>
      </c>
      <c r="EE14" s="64" t="str">
        <f>IF(ED14=ED7,"(a)")</f>
        <v>(a)</v>
      </c>
      <c r="EF14" s="65">
        <f>+EG14-EC14</f>
        <v>31</v>
      </c>
      <c r="EG14" s="47">
        <v>43616</v>
      </c>
      <c r="EH14" s="46">
        <f>WORKDAY(EG14,2)</f>
        <v>43620</v>
      </c>
      <c r="EI14" s="64" t="str">
        <f>IF(EH14=EH7,"(a)")</f>
        <v>(a)</v>
      </c>
      <c r="EJ14" s="65">
        <f>+EK14-EG14</f>
        <v>28</v>
      </c>
      <c r="EK14" s="47">
        <v>43644</v>
      </c>
      <c r="EL14" s="46">
        <f>WORKDAY(EK14,2)</f>
        <v>43648</v>
      </c>
      <c r="EM14" s="64" t="str">
        <f>IF(EL14=EL7,"(a)")</f>
        <v>(a)</v>
      </c>
      <c r="EN14" s="65">
        <f>+EO14-EK14</f>
        <v>33</v>
      </c>
      <c r="EO14" s="47">
        <v>43677</v>
      </c>
      <c r="EP14" s="46">
        <f>WORKDAY(EO14,2)</f>
        <v>43679</v>
      </c>
      <c r="EQ14" s="64" t="str">
        <f>IF(EP14=EP7,"(a)")</f>
        <v>(a)</v>
      </c>
    </row>
    <row r="15" spans="1:147" x14ac:dyDescent="0.25">
      <c r="A15">
        <v>2</v>
      </c>
      <c r="C15" s="47">
        <v>39234</v>
      </c>
      <c r="D15" s="46">
        <f>WORKDAY(C15,2,$C$33:$C$42)</f>
        <v>39238</v>
      </c>
      <c r="E15" t="str">
        <f>IF(D15=D8,"(b)")</f>
        <v>(b)</v>
      </c>
      <c r="F15" s="47">
        <v>39325</v>
      </c>
      <c r="G15" s="46">
        <f>WORKDAY(F15,2,$C$33:$C$42)</f>
        <v>39330</v>
      </c>
      <c r="H15" t="str">
        <f>IF(G15=G8,"(b)")</f>
        <v>(b)</v>
      </c>
      <c r="I15" s="47">
        <v>39416</v>
      </c>
      <c r="J15" s="46">
        <f>WORKDAY(I15,2,$C$33:$C$42)</f>
        <v>39420</v>
      </c>
      <c r="K15" t="str">
        <f>IF(J15=J8,"(b)")</f>
        <v>(b)</v>
      </c>
      <c r="L15" s="47">
        <v>39507</v>
      </c>
      <c r="M15" s="46">
        <f>WORKDAY(L15,2,$L$33:$L$42)</f>
        <v>39511</v>
      </c>
      <c r="N15" t="str">
        <f>IF(M15=M8,"(b)")</f>
        <v>(b)</v>
      </c>
      <c r="O15" s="47">
        <v>39601</v>
      </c>
      <c r="P15" s="46">
        <f>WORKDAY(O15,2,$L$33:$L$42)</f>
        <v>39603</v>
      </c>
      <c r="Q15" t="str">
        <f>IF(P15=P8,"(b)")</f>
        <v>(b)</v>
      </c>
      <c r="R15" s="47">
        <v>39693</v>
      </c>
      <c r="S15" s="46">
        <f>WORKDAY(R15,2,$L$33:$L$42)</f>
        <v>39695</v>
      </c>
      <c r="T15" t="str">
        <f>IF(S15=S8,"(b)")</f>
        <v>(b)</v>
      </c>
      <c r="U15" s="47">
        <v>39784</v>
      </c>
      <c r="V15" s="46">
        <f>WORKDAY(U15,2,$L$33:$L$42)</f>
        <v>39786</v>
      </c>
      <c r="W15" t="str">
        <f>IF(V15=V8,"(b)")</f>
        <v>(b)</v>
      </c>
      <c r="X15" s="47">
        <v>39874</v>
      </c>
      <c r="Y15" s="46">
        <f>WORKDAY(X15,2,X$33:X$43)</f>
        <v>39876</v>
      </c>
      <c r="Z15" t="str">
        <f>IF(Y15=Y8,"(b)")</f>
        <v>(b)</v>
      </c>
      <c r="AA15" s="47">
        <v>39965</v>
      </c>
      <c r="AB15" s="46">
        <f>WORKDAY(AA15,2,$L$33:$L$43)</f>
        <v>39967</v>
      </c>
      <c r="AC15" t="str">
        <f>IF(AB15=AB8,"(b)")</f>
        <v>(b)</v>
      </c>
      <c r="AD15" s="47">
        <v>40057</v>
      </c>
      <c r="AE15" s="46">
        <f>WORKDAY(AD15,2,X$33:X$43)</f>
        <v>40059</v>
      </c>
      <c r="AF15" t="str">
        <f>IF(AE15=AE8,"(b)")</f>
        <v>(b)</v>
      </c>
      <c r="AG15" s="47">
        <v>40148</v>
      </c>
      <c r="AH15" s="46">
        <f>WORKDAY(AG15,2,X$33:X$43)</f>
        <v>40150</v>
      </c>
      <c r="AI15" t="str">
        <f>IF(AH15=AH8,"(b)")</f>
        <v>(b)</v>
      </c>
      <c r="AJ15" s="63"/>
      <c r="AK15" s="47">
        <v>42156</v>
      </c>
      <c r="AL15" s="46">
        <f>WORKDAY(AK15,2,AB$33:AB$43)</f>
        <v>42158</v>
      </c>
      <c r="AM15" s="64" t="str">
        <f>IF(AL15=AL8,"(b)")</f>
        <v>(b)</v>
      </c>
      <c r="AN15" s="65">
        <f>+AO15-AK15</f>
        <v>30</v>
      </c>
      <c r="AO15" s="66">
        <v>42186</v>
      </c>
      <c r="AP15" s="46">
        <f>WORKDAY(AO15,2,AF$33:AF$43)</f>
        <v>42188</v>
      </c>
      <c r="AQ15" s="64" t="str">
        <f>IF(AP15=AP8,"(b)")</f>
        <v>(b)</v>
      </c>
      <c r="AR15" s="65">
        <f>+AS15-AO15</f>
        <v>33</v>
      </c>
      <c r="AS15" s="47">
        <v>42219</v>
      </c>
      <c r="AT15" s="46">
        <f>WORKDAY(AS15,2,AJ$33:AJ$43)</f>
        <v>42221</v>
      </c>
      <c r="AU15" s="64" t="str">
        <f>IF(AT15=AT8,"(b)")</f>
        <v>(b)</v>
      </c>
      <c r="AV15" s="65">
        <f>+AW15-AS15</f>
        <v>29</v>
      </c>
      <c r="AW15" s="47">
        <v>42248</v>
      </c>
      <c r="AX15" s="46">
        <f>WORKDAY(AW15,2,AN$33:AN$43)</f>
        <v>42250</v>
      </c>
      <c r="AY15" s="64" t="str">
        <f>IF(AX15=AX8,"(b)")</f>
        <v>(b)</v>
      </c>
      <c r="AZ15" s="65">
        <f>+BA15-AW15</f>
        <v>30</v>
      </c>
      <c r="BA15" s="47">
        <v>42278</v>
      </c>
      <c r="BB15" s="46">
        <f>WORKDAY(BA15,2,AR$33:AR$43)</f>
        <v>42282</v>
      </c>
      <c r="BC15" s="64" t="str">
        <f>IF(BB15=BB8,"(b)")</f>
        <v>(b)</v>
      </c>
      <c r="BD15" s="65">
        <f>+BE15-BA15</f>
        <v>29</v>
      </c>
      <c r="BE15" s="47">
        <v>42307</v>
      </c>
      <c r="BF15" s="46">
        <f>WORKDAY(BE15,2,AV$33:AV$43)</f>
        <v>42311</v>
      </c>
      <c r="BG15" s="64" t="str">
        <f>IF(BF15=BF8,"(b)")</f>
        <v>(b)</v>
      </c>
      <c r="BH15" s="65">
        <f>+BI15-BE15</f>
        <v>32</v>
      </c>
      <c r="BI15" s="47">
        <v>42339</v>
      </c>
      <c r="BJ15" s="46">
        <f>WORKDAY(BI15,2,AZ$33:AZ$43)</f>
        <v>42341</v>
      </c>
      <c r="BK15" s="64" t="str">
        <f>IF(BJ15=BJ8,"(b)")</f>
        <v>(b)</v>
      </c>
      <c r="BL15" s="65">
        <f>+BM15-BI15</f>
        <v>30</v>
      </c>
      <c r="BM15" s="47">
        <v>42369</v>
      </c>
      <c r="BN15" s="72">
        <f>WORKDAY(BM15,3,BD$33:BD$43)</f>
        <v>42374</v>
      </c>
      <c r="BO15" s="64" t="str">
        <f>IF(BN15=BN8,"(b)")</f>
        <v>(b)</v>
      </c>
      <c r="BP15" s="65">
        <f>+BQ15-BM15</f>
        <v>32</v>
      </c>
      <c r="BQ15" s="47">
        <v>42401</v>
      </c>
      <c r="BR15" s="46">
        <f>WORKDAY(BQ15,2,BH$33:BH$43)</f>
        <v>42403</v>
      </c>
      <c r="BS15" s="64" t="str">
        <f>IF(BR15=BR8,"(b)")</f>
        <v>(b)</v>
      </c>
      <c r="BT15" s="65">
        <f>+BU15-BQ15</f>
        <v>29</v>
      </c>
      <c r="BU15" s="47">
        <v>42430</v>
      </c>
      <c r="BV15" s="46">
        <f>WORKDAY(BU15,2,BL$33:BL$43)</f>
        <v>42432</v>
      </c>
      <c r="BW15" s="64" t="str">
        <f>IF(BV15=BV8,"(b)")</f>
        <v>(b)</v>
      </c>
      <c r="BX15" s="65">
        <f>+BY15-BU15</f>
        <v>30</v>
      </c>
      <c r="BY15" s="47">
        <v>42460</v>
      </c>
      <c r="BZ15" s="46">
        <f t="shared" ref="BZ15:BZ29" si="3">WORKDAY(BY15,2)</f>
        <v>42464</v>
      </c>
      <c r="CA15" s="64" t="str">
        <f>IF(BZ15=BZ8,"(b)")</f>
        <v>(b)</v>
      </c>
      <c r="CB15" s="65">
        <f>+CC15-BY15</f>
        <v>29</v>
      </c>
      <c r="CC15" s="47">
        <v>42489</v>
      </c>
      <c r="CD15" s="46">
        <f t="shared" ref="CD15:CD29" si="4">WORKDAY(CC15,2)</f>
        <v>42493</v>
      </c>
      <c r="CE15" s="64" t="str">
        <f>IF(CD15=CD8,"(b)")</f>
        <v>(b)</v>
      </c>
      <c r="CF15" s="65">
        <f>+CG15-CC15</f>
        <v>33</v>
      </c>
      <c r="CG15" s="47">
        <v>42522</v>
      </c>
      <c r="CH15" s="46">
        <f>WORKDAY(CG15,2)</f>
        <v>42524</v>
      </c>
      <c r="CI15" s="64" t="str">
        <f>IF(CH15=CH8,"(b)")</f>
        <v>(b)</v>
      </c>
      <c r="CJ15" s="65">
        <f>+CK15-CG15</f>
        <v>29</v>
      </c>
      <c r="CK15" s="47">
        <v>42551</v>
      </c>
      <c r="CL15" s="46">
        <f>WORKDAY(CK15,2)</f>
        <v>42555</v>
      </c>
      <c r="CM15" s="64" t="str">
        <f>IF(CL15=CL8,"(b)")</f>
        <v>(b)</v>
      </c>
      <c r="CN15" s="65">
        <f>+CO15-CK15</f>
        <v>32</v>
      </c>
      <c r="CO15" s="47">
        <v>42583</v>
      </c>
      <c r="CP15" s="46">
        <f>WORKDAY(CO15,2)</f>
        <v>42585</v>
      </c>
      <c r="CQ15" s="64" t="str">
        <f>IF(CP15=CP8,"(b)")</f>
        <v>(b)</v>
      </c>
      <c r="CR15" s="65">
        <f>+CS15-CO15</f>
        <v>30</v>
      </c>
      <c r="CS15" s="47">
        <v>42613</v>
      </c>
      <c r="CT15" s="46">
        <f>WORKDAY(CS15,2)</f>
        <v>42615</v>
      </c>
      <c r="CU15" s="64" t="str">
        <f>IF(CT15=CT8,"(b)")</f>
        <v>(b)</v>
      </c>
      <c r="CV15" s="65">
        <f>+CW15-CS15</f>
        <v>30</v>
      </c>
      <c r="CW15" s="47">
        <v>42643</v>
      </c>
      <c r="CX15" s="46">
        <f>WORKDAY(CW15,2)</f>
        <v>42647</v>
      </c>
      <c r="CY15" s="64" t="str">
        <f>IF(CX15=CX8,"(b)")</f>
        <v>(b)</v>
      </c>
      <c r="CZ15" s="65">
        <f>+DA15-CW15</f>
        <v>31</v>
      </c>
      <c r="DA15" s="47">
        <v>42674</v>
      </c>
      <c r="DB15" s="46">
        <f>WORKDAY(DA15,2)</f>
        <v>42676</v>
      </c>
      <c r="DC15" s="64" t="str">
        <f>IF(DB15=DB8,"(b)")</f>
        <v>(b)</v>
      </c>
      <c r="DD15" s="65">
        <f>+DE15-DA15</f>
        <v>31</v>
      </c>
      <c r="DE15" s="47">
        <v>42705</v>
      </c>
      <c r="DF15" s="46">
        <f>WORKDAY(DE15,2)</f>
        <v>42709</v>
      </c>
      <c r="DG15" s="64" t="str">
        <f>IF(DF15=DF8,"(b)")</f>
        <v>(b)</v>
      </c>
      <c r="DH15" s="65">
        <f>+DI15-DE15</f>
        <v>33</v>
      </c>
      <c r="DI15" s="47">
        <v>42738</v>
      </c>
      <c r="DJ15" s="46">
        <f>WORKDAY(DI15,2)</f>
        <v>42740</v>
      </c>
      <c r="DK15" s="64" t="str">
        <f>IF(DJ15=DJ8,"(b)")</f>
        <v>(b)</v>
      </c>
      <c r="DL15" s="65">
        <f>+DM15-DI15</f>
        <v>29</v>
      </c>
      <c r="DM15" s="47">
        <v>42767</v>
      </c>
      <c r="DN15" s="46">
        <f>WORKDAY(DM15,2)</f>
        <v>42769</v>
      </c>
      <c r="DO15" s="64" t="str">
        <f>IF(DN15=DN8,"(b)")</f>
        <v>(b)</v>
      </c>
      <c r="DP15" s="65">
        <f>+DQ15-DM15</f>
        <v>28</v>
      </c>
      <c r="DQ15" s="47">
        <v>42795</v>
      </c>
      <c r="DR15" s="46">
        <f>WORKDAY(DQ15,2)</f>
        <v>42797</v>
      </c>
      <c r="DS15" s="64" t="str">
        <f>IF(DR15=DR8,"(b)")</f>
        <v>(b)</v>
      </c>
      <c r="DT15" s="65">
        <f>+DU15-DQ15</f>
        <v>730</v>
      </c>
      <c r="DU15" s="47">
        <v>43525</v>
      </c>
      <c r="DV15" s="46">
        <f>WORKDAY(DU15,2)</f>
        <v>43529</v>
      </c>
      <c r="DW15" s="64" t="str">
        <f>IF(DV15=DV8,"(b)")</f>
        <v>(b)</v>
      </c>
      <c r="DX15" s="65">
        <f>+DY15-DU15</f>
        <v>31</v>
      </c>
      <c r="DY15" s="47">
        <v>43556</v>
      </c>
      <c r="DZ15" s="46">
        <f>WORKDAY(DY15,2)</f>
        <v>43558</v>
      </c>
      <c r="EA15" s="64" t="str">
        <f>IF(DZ15=DZ8,"(b)")</f>
        <v>(b)</v>
      </c>
      <c r="EB15" s="65">
        <f>+EC15-DY15</f>
        <v>30</v>
      </c>
      <c r="EC15" s="47">
        <v>43586</v>
      </c>
      <c r="ED15" s="46">
        <f>WORKDAY(EC15,2)</f>
        <v>43588</v>
      </c>
      <c r="EE15" s="64" t="str">
        <f>IF(ED15=ED8,"(b)")</f>
        <v>(b)</v>
      </c>
      <c r="EF15" s="65">
        <f>+EG15-EC15</f>
        <v>33</v>
      </c>
      <c r="EG15" s="47">
        <v>43619</v>
      </c>
      <c r="EH15" s="46">
        <f>WORKDAY(EG15,2)</f>
        <v>43621</v>
      </c>
      <c r="EI15" s="64" t="str">
        <f>IF(EH15=EH8,"(b)")</f>
        <v>(b)</v>
      </c>
      <c r="EJ15" s="65">
        <f>+EK15-EG15</f>
        <v>28</v>
      </c>
      <c r="EK15" s="47">
        <v>43647</v>
      </c>
      <c r="EL15" s="46">
        <f>WORKDAY(EK15,2)</f>
        <v>43649</v>
      </c>
      <c r="EM15" s="64" t="str">
        <f>IF(EL15=EL8,"(b)")</f>
        <v>(b)</v>
      </c>
      <c r="EN15" s="65">
        <f>+EO15-EK15</f>
        <v>31</v>
      </c>
      <c r="EO15" s="47">
        <v>43678</v>
      </c>
      <c r="EP15" s="46">
        <f>WORKDAY(EO15,2)</f>
        <v>43682</v>
      </c>
      <c r="EQ15" s="64" t="str">
        <f>IF(EP15=EP8,"(b)")</f>
        <v>(b)</v>
      </c>
    </row>
    <row r="16" spans="1:147" x14ac:dyDescent="0.25">
      <c r="A16">
        <v>3</v>
      </c>
      <c r="C16" s="47">
        <v>39237</v>
      </c>
      <c r="D16" s="46">
        <f>WORKDAY(C16,2,$C$33:$C$42)</f>
        <v>39239</v>
      </c>
      <c r="E16" t="str">
        <f>IF(D16=D9,"(c)")</f>
        <v>(c)</v>
      </c>
      <c r="F16" s="47">
        <v>39329</v>
      </c>
      <c r="G16" s="46">
        <f>WORKDAY(F16,2,$C$33:$C$42)</f>
        <v>39331</v>
      </c>
      <c r="H16" t="str">
        <f>IF(G16=G9,"(c)")</f>
        <v>(c)</v>
      </c>
      <c r="I16" s="47">
        <v>39419</v>
      </c>
      <c r="J16" s="46">
        <f>WORKDAY(I16,2,$C$33:$C$42)</f>
        <v>39421</v>
      </c>
      <c r="K16" t="str">
        <f>IF(J16=J9,"(c)")</f>
        <v>(c)</v>
      </c>
      <c r="L16" s="47">
        <v>39510</v>
      </c>
      <c r="M16" s="46">
        <f>WORKDAY(L16,2,$L$33:$L$42)</f>
        <v>39512</v>
      </c>
      <c r="N16" t="str">
        <f>IF(M16=M9,"(c)")</f>
        <v>(c)</v>
      </c>
      <c r="O16" s="47">
        <v>39602</v>
      </c>
      <c r="P16" s="46">
        <f>WORKDAY(O16,2,$L$33:$L$42)</f>
        <v>39604</v>
      </c>
      <c r="Q16" t="str">
        <f>IF(P16=P9,"(c)")</f>
        <v>(c)</v>
      </c>
      <c r="R16" s="47">
        <v>39694</v>
      </c>
      <c r="S16" s="46">
        <f>WORKDAY(R16,2,$L$33:$L$42)</f>
        <v>39696</v>
      </c>
      <c r="T16" t="str">
        <f>IF(S16=S9,"(c)")</f>
        <v>(c)</v>
      </c>
      <c r="U16" s="47">
        <v>39785</v>
      </c>
      <c r="V16" s="46">
        <f>WORKDAY(U16,2,$L$33:$L$42)</f>
        <v>39787</v>
      </c>
      <c r="W16" t="str">
        <f>IF(V16=V9,"(c)")</f>
        <v>(c)</v>
      </c>
      <c r="X16" s="47">
        <v>39875</v>
      </c>
      <c r="Y16" s="46">
        <f>WORKDAY(X16,2,X$33:X$43)</f>
        <v>39877</v>
      </c>
      <c r="Z16" t="str">
        <f>IF(Y16=Y9,"(c)")</f>
        <v>(c)</v>
      </c>
      <c r="AA16" s="47">
        <v>39966</v>
      </c>
      <c r="AB16" s="46">
        <f>WORKDAY(AA16,2,$L$33:$L$43)</f>
        <v>39968</v>
      </c>
      <c r="AC16" t="str">
        <f>IF(AB16=AB9,"(c)")</f>
        <v>(c)</v>
      </c>
      <c r="AD16" s="47">
        <v>40058</v>
      </c>
      <c r="AE16" s="46">
        <f>WORKDAY(AD16,2,X$33:X$43)</f>
        <v>40060</v>
      </c>
      <c r="AF16" t="str">
        <f>IF(AE16=AE9,"(c)")</f>
        <v>(c)</v>
      </c>
      <c r="AG16" s="47">
        <v>40149</v>
      </c>
      <c r="AH16" s="46">
        <f>WORKDAY(AG16,2,X$33:X$43)</f>
        <v>40151</v>
      </c>
      <c r="AI16" t="str">
        <f>IF(AH16=AH9,"(c)")</f>
        <v>(c)</v>
      </c>
      <c r="AJ16" s="63"/>
      <c r="AK16" s="47">
        <v>42157</v>
      </c>
      <c r="AL16" s="46">
        <f>WORKDAY(AK16,2,AB$33:AB$43)</f>
        <v>42159</v>
      </c>
      <c r="AM16" s="64" t="str">
        <f>IF(AL16=AL9,"(c)")</f>
        <v>(c)</v>
      </c>
      <c r="AN16" s="65">
        <f>+AO16-AK16</f>
        <v>30</v>
      </c>
      <c r="AO16" s="47">
        <v>42187</v>
      </c>
      <c r="AP16" s="46">
        <f>WORKDAY(AO16,2,AF$33:AF$43)</f>
        <v>42191</v>
      </c>
      <c r="AQ16" s="64" t="b">
        <f>IF(AP16=AP9,"(c)")</f>
        <v>0</v>
      </c>
      <c r="AR16" s="65">
        <f>+AS16-AO16</f>
        <v>33</v>
      </c>
      <c r="AS16" s="47">
        <v>42220</v>
      </c>
      <c r="AT16" s="46">
        <f>WORKDAY(AS16,2,AJ$33:AJ$43)</f>
        <v>42222</v>
      </c>
      <c r="AU16" s="64" t="str">
        <f>IF(AT16=AT9,"(c)")</f>
        <v>(c)</v>
      </c>
      <c r="AV16" s="65">
        <f>+AW16-AS16</f>
        <v>29</v>
      </c>
      <c r="AW16" s="47">
        <v>42249</v>
      </c>
      <c r="AX16" s="46">
        <f>WORKDAY(AW16,2,AN$33:AN$43)</f>
        <v>42251</v>
      </c>
      <c r="AY16" s="64" t="str">
        <f>IF(AX16=AX9,"(c)")</f>
        <v>(c)</v>
      </c>
      <c r="AZ16" s="65">
        <f>+BA16-AW16</f>
        <v>30</v>
      </c>
      <c r="BA16" s="47">
        <v>42279</v>
      </c>
      <c r="BB16" s="46">
        <f>WORKDAY(BA16,2,AR$33:AR$43)</f>
        <v>42283</v>
      </c>
      <c r="BC16" s="64" t="str">
        <f>IF(BB16=BB9,"(c)")</f>
        <v>(c)</v>
      </c>
      <c r="BD16" s="65">
        <f>+BE16-BA16</f>
        <v>31</v>
      </c>
      <c r="BE16" s="47">
        <v>42310</v>
      </c>
      <c r="BF16" s="46">
        <f>WORKDAY(BE16,2,AV$33:AV$43)</f>
        <v>42312</v>
      </c>
      <c r="BG16" s="64" t="str">
        <f>IF(BF16=BF9,"(c)")</f>
        <v>(c)</v>
      </c>
      <c r="BH16" s="65">
        <f>+BI16-BE16</f>
        <v>30</v>
      </c>
      <c r="BI16" s="47">
        <v>42340</v>
      </c>
      <c r="BJ16" s="46">
        <f>WORKDAY(BI16,2,AZ$33:AZ$43)</f>
        <v>42342</v>
      </c>
      <c r="BK16" s="64" t="str">
        <f>IF(BJ16=BJ9,"(c)")</f>
        <v>(c)</v>
      </c>
      <c r="BL16" s="65">
        <f>+BM16-BI16</f>
        <v>33</v>
      </c>
      <c r="BM16" s="47">
        <v>42373</v>
      </c>
      <c r="BN16" s="46">
        <f>WORKDAY(BM16,2,BD$33:BD$43)</f>
        <v>42375</v>
      </c>
      <c r="BO16" s="64" t="str">
        <f>IF(BN16=BN9,"(c)")</f>
        <v>(c)</v>
      </c>
      <c r="BP16" s="65">
        <f>+BQ16-BM16</f>
        <v>29</v>
      </c>
      <c r="BQ16" s="47">
        <v>42402</v>
      </c>
      <c r="BR16" s="46">
        <f>WORKDAY(BQ16,2,BH$33:BH$43)</f>
        <v>42404</v>
      </c>
      <c r="BS16" s="64" t="str">
        <f>IF(BR16=BR9,"(c)")</f>
        <v>(c)</v>
      </c>
      <c r="BT16" s="65">
        <f>+BU16-BQ16</f>
        <v>29</v>
      </c>
      <c r="BU16" s="47">
        <v>42431</v>
      </c>
      <c r="BV16" s="46">
        <f>WORKDAY(BU16,2,BL$33:BL$43)</f>
        <v>42433</v>
      </c>
      <c r="BW16" s="64" t="str">
        <f>IF(BV16=BV9,"(c)")</f>
        <v>(c)</v>
      </c>
      <c r="BX16" s="65">
        <f>+BY16-BU16</f>
        <v>30</v>
      </c>
      <c r="BY16" s="47">
        <v>42461</v>
      </c>
      <c r="BZ16" s="46">
        <f t="shared" si="3"/>
        <v>42465</v>
      </c>
      <c r="CA16" s="64" t="str">
        <f>IF(BZ16=BZ9,"(c)")</f>
        <v>(c)</v>
      </c>
      <c r="CB16" s="65">
        <f>+CC16-BY16</f>
        <v>31</v>
      </c>
      <c r="CC16" s="47">
        <v>42492</v>
      </c>
      <c r="CD16" s="46">
        <f t="shared" si="4"/>
        <v>42494</v>
      </c>
      <c r="CE16" s="64" t="str">
        <f>IF(CD16=CD9,"(c)")</f>
        <v>(c)</v>
      </c>
      <c r="CF16" s="65">
        <f>+CG16-CC16</f>
        <v>31</v>
      </c>
      <c r="CG16" s="47">
        <v>42523</v>
      </c>
      <c r="CH16" s="46">
        <f>WORKDAY(CG16,2)</f>
        <v>42527</v>
      </c>
      <c r="CI16" s="64" t="str">
        <f>IF(CH16=CH9,"(c)")</f>
        <v>(c)</v>
      </c>
      <c r="CJ16" s="65">
        <f>+CK16-CG16</f>
        <v>32</v>
      </c>
      <c r="CK16" s="47">
        <v>42555</v>
      </c>
      <c r="CL16" s="46">
        <f>WORKDAY(CK16,2)</f>
        <v>42557</v>
      </c>
      <c r="CM16" s="64" t="str">
        <f>IF(CL16=CL9,"(c)")</f>
        <v>(c)</v>
      </c>
      <c r="CN16" s="65">
        <f>+CO16-CK16</f>
        <v>29</v>
      </c>
      <c r="CO16" s="47">
        <v>42584</v>
      </c>
      <c r="CP16" s="46">
        <f>WORKDAY(CO16,2)</f>
        <v>42586</v>
      </c>
      <c r="CQ16" s="64" t="str">
        <f>IF(CP16=CP9,"(c)")</f>
        <v>(c)</v>
      </c>
      <c r="CR16" s="65">
        <f>+CS16-CO16</f>
        <v>30</v>
      </c>
      <c r="CS16" s="47">
        <v>42614</v>
      </c>
      <c r="CT16" s="46">
        <f>WORKDAY(CS16,2)</f>
        <v>42618</v>
      </c>
      <c r="CU16" s="64" t="str">
        <f>IF(CT16=CT9,"(c)")</f>
        <v>(c)</v>
      </c>
      <c r="CV16" s="65">
        <f>+CW16-CS16</f>
        <v>32</v>
      </c>
      <c r="CW16" s="47">
        <v>42646</v>
      </c>
      <c r="CX16" s="46">
        <f>WORKDAY(CW16,2)</f>
        <v>42648</v>
      </c>
      <c r="CY16" s="64" t="str">
        <f>IF(CX16=CX9,"(c)")</f>
        <v>(c)</v>
      </c>
      <c r="CZ16" s="65">
        <f>+DA16-CW16</f>
        <v>29</v>
      </c>
      <c r="DA16" s="47">
        <v>42675</v>
      </c>
      <c r="DB16" s="46">
        <f>WORKDAY(DA16,2)</f>
        <v>42677</v>
      </c>
      <c r="DC16" s="64" t="str">
        <f>IF(DB16=DB9,"(c)")</f>
        <v>(c)</v>
      </c>
      <c r="DD16" s="65">
        <f>+DE16-DA16</f>
        <v>31</v>
      </c>
      <c r="DE16" s="47">
        <v>42706</v>
      </c>
      <c r="DF16" s="46">
        <f>WORKDAY(DE16,2)</f>
        <v>42710</v>
      </c>
      <c r="DG16" s="64" t="str">
        <f>IF(DF16=DF9,"(c)")</f>
        <v>(c)</v>
      </c>
      <c r="DH16" s="65">
        <f>+DI16-DE16</f>
        <v>33</v>
      </c>
      <c r="DI16" s="47">
        <v>42739</v>
      </c>
      <c r="DJ16" s="46">
        <f>WORKDAY(DI16,2)</f>
        <v>42741</v>
      </c>
      <c r="DK16" s="64" t="str">
        <f>IF(DJ16=DJ9,"(c)")</f>
        <v>(c)</v>
      </c>
      <c r="DL16" s="65">
        <f>+DM16-DI16</f>
        <v>29</v>
      </c>
      <c r="DM16" s="47">
        <v>42768</v>
      </c>
      <c r="DN16" s="46">
        <f>WORKDAY(DM16,2)</f>
        <v>42772</v>
      </c>
      <c r="DO16" s="64" t="str">
        <f>IF(DN16=DN9,"(c)")</f>
        <v>(c)</v>
      </c>
      <c r="DP16" s="65">
        <f>+DQ16-DM16</f>
        <v>28</v>
      </c>
      <c r="DQ16" s="47">
        <v>42796</v>
      </c>
      <c r="DR16" s="46">
        <f>WORKDAY(DQ16,2)</f>
        <v>42800</v>
      </c>
      <c r="DS16" s="64" t="str">
        <f>IF(DR16=DR9,"(c)")</f>
        <v>(c)</v>
      </c>
      <c r="DT16" s="65">
        <f>+DU16-DQ16</f>
        <v>732</v>
      </c>
      <c r="DU16" s="47">
        <v>43528</v>
      </c>
      <c r="DV16" s="46">
        <f>WORKDAY(DU16,2)</f>
        <v>43530</v>
      </c>
      <c r="DW16" s="64" t="str">
        <f>IF(DV16=DV9,"(c)")</f>
        <v>(c)</v>
      </c>
      <c r="DX16" s="65">
        <f>+DY16-DU16</f>
        <v>29</v>
      </c>
      <c r="DY16" s="47">
        <v>43557</v>
      </c>
      <c r="DZ16" s="46">
        <f>WORKDAY(DY16,2)</f>
        <v>43559</v>
      </c>
      <c r="EA16" s="64" t="str">
        <f>IF(DZ16=DZ9,"(c)")</f>
        <v>(c)</v>
      </c>
      <c r="EB16" s="65">
        <f>+EC16-DY16</f>
        <v>30</v>
      </c>
      <c r="EC16" s="47">
        <v>43587</v>
      </c>
      <c r="ED16" s="46">
        <f>WORKDAY(EC16,2)</f>
        <v>43591</v>
      </c>
      <c r="EE16" s="64" t="str">
        <f>IF(ED16=ED9,"(c)")</f>
        <v>(c)</v>
      </c>
      <c r="EF16" s="65">
        <f>+EG16-EC16</f>
        <v>33</v>
      </c>
      <c r="EG16" s="47">
        <v>43620</v>
      </c>
      <c r="EH16" s="46">
        <f>WORKDAY(EG16,2)</f>
        <v>43622</v>
      </c>
      <c r="EI16" s="64" t="str">
        <f>IF(EH16=EH9,"(c)")</f>
        <v>(c)</v>
      </c>
      <c r="EJ16" s="65">
        <f>+EK16-EG16</f>
        <v>28</v>
      </c>
      <c r="EK16" s="47">
        <v>43648</v>
      </c>
      <c r="EL16" s="46">
        <f>WORKDAY(EK16,2)</f>
        <v>43650</v>
      </c>
      <c r="EM16" s="64" t="str">
        <f>IF(EL16=EL9,"(c)")</f>
        <v>(c)</v>
      </c>
      <c r="EN16" s="65">
        <f>+EO16-EK16</f>
        <v>31</v>
      </c>
      <c r="EO16" s="47">
        <v>43679</v>
      </c>
      <c r="EP16" s="46">
        <f>WORKDAY(EO16,2)</f>
        <v>43683</v>
      </c>
      <c r="EQ16" s="64" t="str">
        <f>IF(EP16=EP9,"(c)")</f>
        <v>(c)</v>
      </c>
    </row>
    <row r="17" spans="1:147" x14ac:dyDescent="0.25">
      <c r="C17" s="47"/>
      <c r="D17" s="46"/>
      <c r="F17" s="47"/>
      <c r="G17" s="46"/>
      <c r="I17" s="47"/>
      <c r="J17" s="46"/>
      <c r="L17" s="47"/>
      <c r="M17" s="46"/>
      <c r="O17" s="47"/>
      <c r="P17" s="46"/>
      <c r="R17" s="47"/>
      <c r="S17" s="46"/>
      <c r="U17" s="47"/>
      <c r="V17" s="46"/>
      <c r="X17" s="47"/>
      <c r="Y17" s="46"/>
      <c r="AA17" s="47"/>
      <c r="AB17" s="46"/>
      <c r="AD17" s="47"/>
      <c r="AE17" s="46"/>
      <c r="AG17" s="47"/>
      <c r="AH17" s="46"/>
      <c r="AJ17" s="63"/>
      <c r="AK17" s="47"/>
      <c r="AL17" s="46"/>
      <c r="AM17" s="64"/>
      <c r="AN17" s="65"/>
      <c r="AO17" s="47"/>
      <c r="AP17" s="46"/>
      <c r="AQ17" s="64"/>
      <c r="AR17" s="65"/>
      <c r="AS17" s="47"/>
      <c r="AT17" s="46"/>
      <c r="AU17" s="64"/>
      <c r="AV17" s="65"/>
      <c r="AW17" s="47"/>
      <c r="AX17" s="46"/>
      <c r="AY17" s="64"/>
      <c r="AZ17" s="65"/>
      <c r="BA17" s="47"/>
      <c r="BB17" s="46"/>
      <c r="BC17" s="64"/>
      <c r="BD17" s="65"/>
      <c r="BE17" s="47"/>
      <c r="BF17" s="46"/>
      <c r="BG17" s="64"/>
      <c r="BH17" s="65"/>
      <c r="BI17" s="47"/>
      <c r="BJ17" s="46"/>
      <c r="BK17" s="64"/>
      <c r="BL17" s="65"/>
      <c r="BM17" s="47"/>
      <c r="BN17" s="46"/>
      <c r="BO17" s="64"/>
      <c r="BP17" s="65"/>
      <c r="BQ17" s="47"/>
      <c r="BR17" s="46"/>
      <c r="BS17" s="64"/>
      <c r="BT17" s="65"/>
      <c r="BU17" s="47"/>
      <c r="BV17" s="46"/>
      <c r="BW17" s="64"/>
      <c r="BX17" s="65"/>
      <c r="BY17" s="47"/>
      <c r="BZ17" s="46"/>
      <c r="CA17" s="64"/>
      <c r="CB17" s="65"/>
      <c r="CC17" s="47"/>
      <c r="CD17" s="46"/>
      <c r="CE17" s="64"/>
      <c r="CF17" s="65"/>
      <c r="CG17" s="47"/>
      <c r="CH17" s="46"/>
      <c r="CI17" s="64"/>
      <c r="CJ17" s="65"/>
      <c r="CK17" s="47"/>
      <c r="CL17" s="46"/>
      <c r="CM17" s="64"/>
      <c r="CN17" s="65"/>
      <c r="CO17" s="47"/>
      <c r="CP17" s="46"/>
      <c r="CQ17" s="64"/>
      <c r="CR17" s="65"/>
      <c r="CS17" s="47"/>
      <c r="CT17" s="46"/>
      <c r="CU17" s="64"/>
      <c r="CV17" s="65"/>
      <c r="CW17" s="47"/>
      <c r="CX17" s="46"/>
      <c r="CY17" s="64"/>
      <c r="CZ17" s="65"/>
      <c r="DA17" s="47"/>
      <c r="DB17" s="46"/>
      <c r="DC17" s="64"/>
      <c r="DD17" s="65"/>
      <c r="DE17" s="47"/>
      <c r="DF17" s="46"/>
      <c r="DG17" s="64"/>
      <c r="DH17" s="65"/>
      <c r="DI17" s="47"/>
      <c r="DJ17" s="46"/>
      <c r="DK17" s="64"/>
      <c r="DL17" s="65"/>
      <c r="DM17" s="47"/>
      <c r="DN17" s="46"/>
      <c r="DO17" s="64"/>
      <c r="DP17" s="65"/>
      <c r="DQ17" s="47"/>
      <c r="DR17" s="46"/>
      <c r="DS17" s="64"/>
      <c r="DT17" s="65"/>
      <c r="DU17" s="47"/>
      <c r="DV17" s="46"/>
      <c r="DW17" s="64"/>
      <c r="DX17" s="65"/>
      <c r="DY17" s="47"/>
      <c r="DZ17" s="46"/>
      <c r="EA17" s="64"/>
      <c r="EB17" s="65"/>
      <c r="EC17" s="47"/>
      <c r="ED17" s="46"/>
      <c r="EE17" s="64"/>
      <c r="EF17" s="65"/>
      <c r="EG17" s="47"/>
      <c r="EH17" s="46"/>
      <c r="EI17" s="64"/>
      <c r="EJ17" s="65"/>
      <c r="EK17" s="47"/>
      <c r="EL17" s="46"/>
      <c r="EM17" s="64"/>
      <c r="EN17" s="65"/>
      <c r="EO17" s="47"/>
      <c r="EP17" s="46"/>
      <c r="EQ17" s="64"/>
    </row>
    <row r="18" spans="1:147" x14ac:dyDescent="0.25">
      <c r="A18">
        <v>5</v>
      </c>
      <c r="C18" s="47"/>
      <c r="D18" s="46"/>
      <c r="F18" s="47"/>
      <c r="G18" s="46"/>
      <c r="I18" s="47"/>
      <c r="J18" s="46"/>
      <c r="L18" s="47"/>
      <c r="M18" s="46"/>
      <c r="O18" s="47"/>
      <c r="P18" s="46"/>
      <c r="R18" s="47"/>
      <c r="S18" s="46"/>
      <c r="U18" s="47"/>
      <c r="V18" s="46"/>
      <c r="X18" s="47"/>
      <c r="Y18" s="46"/>
      <c r="AA18" s="47"/>
      <c r="AB18" s="46"/>
      <c r="AD18" s="47"/>
      <c r="AE18" s="46"/>
      <c r="AG18" s="47"/>
      <c r="AH18" s="46"/>
      <c r="AJ18" s="63"/>
      <c r="AK18" s="47"/>
      <c r="AL18" s="46"/>
      <c r="AM18" s="64"/>
      <c r="AN18" s="65"/>
      <c r="AO18" s="47"/>
      <c r="AP18" s="46"/>
      <c r="AQ18" s="64"/>
      <c r="AR18" s="65"/>
      <c r="AS18" s="47"/>
      <c r="AT18" s="46"/>
      <c r="AU18" s="64"/>
      <c r="AV18" s="65"/>
      <c r="AW18" s="47"/>
      <c r="AX18" s="46"/>
      <c r="AY18" s="64"/>
      <c r="AZ18" s="65"/>
      <c r="BA18" s="47"/>
      <c r="BB18" s="46"/>
      <c r="BC18" s="64"/>
      <c r="BD18" s="65"/>
      <c r="BE18" s="47"/>
      <c r="BF18" s="46"/>
      <c r="BG18" s="64"/>
      <c r="BH18" s="65"/>
      <c r="BI18" s="47">
        <v>42342</v>
      </c>
      <c r="BJ18" s="46">
        <f>WORKDAY(BI18,2,AZ$33:AZ$43)</f>
        <v>42346</v>
      </c>
      <c r="BK18" s="64"/>
      <c r="BL18" s="65">
        <f>+BM18-BI18</f>
        <v>33</v>
      </c>
      <c r="BM18" s="47">
        <v>42375</v>
      </c>
      <c r="BN18" s="46">
        <f>WORKDAY(BM18,2,BD$33:BD$43)</f>
        <v>42377</v>
      </c>
      <c r="BO18" s="64"/>
      <c r="BP18" s="65">
        <f>+BQ18-BM18</f>
        <v>29</v>
      </c>
      <c r="BQ18" s="47">
        <v>42404</v>
      </c>
      <c r="BR18" s="46">
        <f>WORKDAY(BQ18,2,BH$33:BH$43)</f>
        <v>42408</v>
      </c>
      <c r="BS18" s="64"/>
      <c r="BT18" s="65">
        <f>+BU18-BQ18</f>
        <v>29</v>
      </c>
      <c r="BU18" s="47">
        <v>42433</v>
      </c>
      <c r="BV18" s="46">
        <f>WORKDAY(BU18,2,BL$33:BL$43)</f>
        <v>42437</v>
      </c>
      <c r="BW18" s="64"/>
      <c r="BX18" s="65">
        <f>+BY18-BU18</f>
        <v>32</v>
      </c>
      <c r="BY18" s="47">
        <v>42465</v>
      </c>
      <c r="BZ18" s="46">
        <f t="shared" si="3"/>
        <v>42467</v>
      </c>
      <c r="CA18" s="64"/>
      <c r="CB18" s="65">
        <f>+CC18-BY18</f>
        <v>29</v>
      </c>
      <c r="CC18" s="47">
        <v>42494</v>
      </c>
      <c r="CD18" s="46">
        <f t="shared" si="4"/>
        <v>42496</v>
      </c>
      <c r="CE18" s="64"/>
      <c r="CF18" s="65">
        <f>+CG18-CC18</f>
        <v>33</v>
      </c>
      <c r="CG18" s="47">
        <v>42527</v>
      </c>
      <c r="CH18" s="46">
        <f>WORKDAY(CG18,2)</f>
        <v>42529</v>
      </c>
      <c r="CI18" s="64"/>
      <c r="CJ18" s="65">
        <f>+CK18-CG18</f>
        <v>30</v>
      </c>
      <c r="CK18" s="47">
        <v>42557</v>
      </c>
      <c r="CL18" s="46">
        <f>WORKDAY(CK18,2)</f>
        <v>42559</v>
      </c>
      <c r="CM18" s="64"/>
      <c r="CN18" s="65">
        <f>+CO18-CK18</f>
        <v>29</v>
      </c>
      <c r="CO18" s="47">
        <v>42586</v>
      </c>
      <c r="CP18" s="46">
        <f>WORKDAY(CO18,2)</f>
        <v>42590</v>
      </c>
      <c r="CQ18" s="64"/>
      <c r="CR18" s="65">
        <f>+CS18-CO18</f>
        <v>33</v>
      </c>
      <c r="CS18" s="47">
        <v>42619</v>
      </c>
      <c r="CT18" s="46">
        <f>WORKDAY(CS18,2)</f>
        <v>42621</v>
      </c>
      <c r="CU18" s="64"/>
      <c r="CV18" s="65">
        <f>+CW18-CS18</f>
        <v>29</v>
      </c>
      <c r="CW18" s="47">
        <v>42648</v>
      </c>
      <c r="CX18" s="46">
        <f>WORKDAY(CW18,2)</f>
        <v>42650</v>
      </c>
      <c r="CY18" s="64"/>
      <c r="CZ18" s="65">
        <f>+DA18-CW18</f>
        <v>29</v>
      </c>
      <c r="DA18" s="47">
        <v>42677</v>
      </c>
      <c r="DB18" s="46">
        <f>WORKDAY(DA18,2)</f>
        <v>42681</v>
      </c>
      <c r="DC18" s="64"/>
      <c r="DD18" s="65">
        <f>+DE18-DA18</f>
        <v>33</v>
      </c>
      <c r="DE18" s="47">
        <v>42710</v>
      </c>
      <c r="DF18" s="46">
        <f>WORKDAY(DE18,2)</f>
        <v>42712</v>
      </c>
      <c r="DG18" s="64"/>
      <c r="DH18" s="65">
        <f>+DI18-DE18</f>
        <v>31</v>
      </c>
      <c r="DI18" s="47">
        <v>42741</v>
      </c>
      <c r="DJ18" s="46">
        <f>WORKDAY(DI18,2)</f>
        <v>42745</v>
      </c>
      <c r="DK18" s="64"/>
      <c r="DL18" s="65">
        <f>+DM18-DI18</f>
        <v>31</v>
      </c>
      <c r="DM18" s="47">
        <v>42772</v>
      </c>
      <c r="DN18" s="46">
        <f>WORKDAY(DM18,2)</f>
        <v>42774</v>
      </c>
      <c r="DO18" s="64"/>
      <c r="DP18" s="65">
        <f>+DQ18-DM18</f>
        <v>28</v>
      </c>
      <c r="DQ18" s="47">
        <v>42800</v>
      </c>
      <c r="DR18" s="46">
        <f>WORKDAY(DQ18,2)</f>
        <v>42802</v>
      </c>
      <c r="DS18" s="64"/>
      <c r="DT18" s="65">
        <f>+DU18-DQ18</f>
        <v>730</v>
      </c>
      <c r="DU18" s="47">
        <v>43530</v>
      </c>
      <c r="DV18" s="46">
        <f>WORKDAY(DU18,2)</f>
        <v>43532</v>
      </c>
      <c r="DW18" s="64"/>
      <c r="DX18" s="65">
        <f>+DY18-DU18</f>
        <v>30</v>
      </c>
      <c r="DY18" s="47">
        <v>43560</v>
      </c>
      <c r="DZ18" s="46">
        <f>WORKDAY(DY18,2)</f>
        <v>43564</v>
      </c>
      <c r="EA18" s="64"/>
      <c r="EB18" s="65">
        <f>+EC18-DY18</f>
        <v>31</v>
      </c>
      <c r="EC18" s="47">
        <v>43591</v>
      </c>
      <c r="ED18" s="46">
        <f>WORKDAY(EC18,2)</f>
        <v>43593</v>
      </c>
      <c r="EE18" s="64"/>
      <c r="EF18" s="65">
        <f>+EG18-EC18</f>
        <v>31</v>
      </c>
      <c r="EG18" s="47">
        <v>43622</v>
      </c>
      <c r="EH18" s="46">
        <f>WORKDAY(EG18,2)</f>
        <v>43626</v>
      </c>
      <c r="EI18" s="64"/>
      <c r="EJ18" s="65">
        <f>+EK18-EG18</f>
        <v>29</v>
      </c>
      <c r="EK18" s="47">
        <v>43651</v>
      </c>
      <c r="EL18" s="46">
        <f>WORKDAY(EK18,2)</f>
        <v>43655</v>
      </c>
      <c r="EM18" s="64"/>
      <c r="EN18" s="65">
        <f>+EO18-EK18</f>
        <v>32</v>
      </c>
      <c r="EO18" s="47">
        <v>43683</v>
      </c>
      <c r="EP18" s="46">
        <f>WORKDAY(EO18,2)</f>
        <v>43685</v>
      </c>
      <c r="EQ18" s="64"/>
    </row>
    <row r="19" spans="1:147" x14ac:dyDescent="0.25">
      <c r="AJ19" s="63"/>
      <c r="AK19" s="10"/>
      <c r="AM19" s="64"/>
      <c r="AN19" s="63"/>
      <c r="AO19" s="10"/>
      <c r="AQ19" s="64"/>
      <c r="AR19" s="63"/>
      <c r="AS19" s="10"/>
      <c r="AU19" s="64"/>
      <c r="AV19" s="63"/>
      <c r="AW19" s="10"/>
      <c r="AY19" s="64"/>
      <c r="AZ19" s="63"/>
      <c r="BA19" s="10"/>
      <c r="BC19" s="64"/>
      <c r="BD19" s="63"/>
      <c r="BE19" s="10"/>
      <c r="BG19" s="64"/>
      <c r="BH19" s="63"/>
      <c r="BI19" s="10"/>
      <c r="BK19" s="64"/>
      <c r="BL19" s="63"/>
      <c r="BM19" s="10"/>
      <c r="BO19" s="64"/>
      <c r="BP19" s="63"/>
      <c r="BQ19" s="10"/>
      <c r="BS19" s="64"/>
      <c r="BT19" s="63"/>
      <c r="BU19" s="10"/>
      <c r="BW19" s="64"/>
      <c r="BX19" s="63"/>
      <c r="BY19" s="10"/>
      <c r="BZ19" s="46"/>
      <c r="CA19" s="64"/>
      <c r="CB19" s="63"/>
      <c r="CC19" s="10"/>
      <c r="CD19" s="46"/>
      <c r="CE19" s="64"/>
      <c r="CF19" s="63"/>
      <c r="CG19" s="10"/>
      <c r="CH19" s="46"/>
      <c r="CI19" s="64"/>
      <c r="CJ19" s="63"/>
      <c r="CK19" s="10"/>
      <c r="CL19" s="46"/>
      <c r="CM19" s="64"/>
      <c r="CN19" s="63"/>
      <c r="CO19" s="10"/>
      <c r="CP19" s="46"/>
      <c r="CQ19" s="64"/>
      <c r="CR19" s="63"/>
      <c r="CS19" s="10"/>
      <c r="CT19" s="46"/>
      <c r="CU19" s="64"/>
      <c r="CV19" s="63"/>
      <c r="CW19" s="10"/>
      <c r="CX19" s="46"/>
      <c r="CY19" s="64"/>
      <c r="CZ19" s="63"/>
      <c r="DA19" s="10"/>
      <c r="DB19" s="46"/>
      <c r="DC19" s="64"/>
      <c r="DD19" s="63"/>
      <c r="DE19" s="10"/>
      <c r="DF19" s="46"/>
      <c r="DG19" s="64"/>
      <c r="DH19" s="63"/>
      <c r="DI19" s="10"/>
      <c r="DJ19" s="46"/>
      <c r="DK19" s="64"/>
      <c r="DL19" s="63"/>
      <c r="DM19" s="10"/>
      <c r="DN19" s="46"/>
      <c r="DO19" s="64"/>
      <c r="DP19" s="63"/>
      <c r="DQ19" s="10"/>
      <c r="DR19" s="46"/>
      <c r="DS19" s="64"/>
      <c r="DT19" s="63"/>
      <c r="DU19" s="10"/>
      <c r="DV19" s="46"/>
      <c r="DW19" s="64"/>
      <c r="DX19" s="63"/>
      <c r="DY19" s="10"/>
      <c r="DZ19" s="46"/>
      <c r="EA19" s="64"/>
      <c r="EB19" s="63"/>
      <c r="EC19" s="10"/>
      <c r="ED19" s="46"/>
      <c r="EE19" s="64"/>
      <c r="EF19" s="63"/>
      <c r="EG19" s="10"/>
      <c r="EH19" s="46"/>
      <c r="EI19" s="64"/>
      <c r="EJ19" s="63"/>
      <c r="EK19" s="10"/>
      <c r="EL19" s="46"/>
      <c r="EM19" s="64"/>
      <c r="EN19" s="63"/>
      <c r="EO19" s="10"/>
      <c r="EP19" s="46"/>
      <c r="EQ19" s="64"/>
    </row>
    <row r="20" spans="1:147" x14ac:dyDescent="0.25">
      <c r="A20">
        <v>7</v>
      </c>
      <c r="B20" s="30" t="s">
        <v>101</v>
      </c>
      <c r="C20" s="47">
        <v>39241</v>
      </c>
      <c r="D20" s="46">
        <f>WORKDAY(C20,2,$C$33:$C$42)</f>
        <v>39245</v>
      </c>
      <c r="F20" s="47">
        <v>39335</v>
      </c>
      <c r="G20" s="46">
        <f>WORKDAY(F20,2,$C$33:$C$42)</f>
        <v>39337</v>
      </c>
      <c r="I20" s="47">
        <v>39423</v>
      </c>
      <c r="J20" s="46">
        <f>WORKDAY(I20,2,$C$33:$C$42)</f>
        <v>39427</v>
      </c>
      <c r="L20" s="47">
        <v>39514</v>
      </c>
      <c r="M20" s="46">
        <f>WORKDAY(L20,2,$L$33:$L$42)</f>
        <v>39518</v>
      </c>
      <c r="O20" s="47">
        <v>39608</v>
      </c>
      <c r="P20" s="46">
        <f>WORKDAY(O20,2,$L$33:$L$42)</f>
        <v>39610</v>
      </c>
      <c r="R20" s="47">
        <v>39700</v>
      </c>
      <c r="S20" s="46">
        <f>WORKDAY(R20,2,$L$33:$L$42)</f>
        <v>39702</v>
      </c>
      <c r="U20" s="47">
        <v>39791</v>
      </c>
      <c r="V20" s="46">
        <f>WORKDAY(U20,2,$L$33:$L$42)</f>
        <v>39793</v>
      </c>
      <c r="X20" s="47">
        <v>39881</v>
      </c>
      <c r="Y20" s="46">
        <f>WORKDAY(X20,2,X$33:X$43)</f>
        <v>39883</v>
      </c>
      <c r="AA20" s="47">
        <v>39973</v>
      </c>
      <c r="AB20" s="46">
        <f>WORKDAY(AA20,2,$L$33:$L$43)</f>
        <v>39975</v>
      </c>
      <c r="AD20" s="47">
        <v>40065</v>
      </c>
      <c r="AE20" s="46">
        <f>WORKDAY(AD20,2,X$33:X$43)</f>
        <v>40067</v>
      </c>
      <c r="AG20" s="47">
        <v>40155</v>
      </c>
      <c r="AH20" s="46">
        <f>WORKDAY(AG20,2,X$33:X$43)</f>
        <v>40157</v>
      </c>
      <c r="AJ20" s="63"/>
      <c r="AK20" s="47">
        <v>42163</v>
      </c>
      <c r="AL20" s="46">
        <f>WORKDAY(AK20,2,AB$33:AB$43)</f>
        <v>42165</v>
      </c>
      <c r="AM20" s="64"/>
      <c r="AN20" s="65">
        <f>+AO20-AK20</f>
        <v>32</v>
      </c>
      <c r="AO20" s="47">
        <v>42195</v>
      </c>
      <c r="AP20" s="46">
        <f>WORKDAY(AO20,2,AF$33:AF$43)</f>
        <v>42199</v>
      </c>
      <c r="AQ20" s="64"/>
      <c r="AR20" s="65">
        <f>+AS20-AO20</f>
        <v>31</v>
      </c>
      <c r="AS20" s="47">
        <v>42226</v>
      </c>
      <c r="AT20" s="46">
        <f>WORKDAY(AS20,2,AJ$33:AJ$43)</f>
        <v>42228</v>
      </c>
      <c r="AU20" s="64"/>
      <c r="AV20" s="65">
        <f>+AW20-AS20</f>
        <v>30</v>
      </c>
      <c r="AW20" s="47">
        <v>42256</v>
      </c>
      <c r="AX20" s="46">
        <f>WORKDAY(AW20,2,AN$33:AN$43)</f>
        <v>42258</v>
      </c>
      <c r="AY20" s="64"/>
      <c r="AZ20" s="65">
        <f>+BA20-AW20</f>
        <v>29</v>
      </c>
      <c r="BA20" s="47">
        <v>42285</v>
      </c>
      <c r="BB20" s="46">
        <f>WORKDAY(BA20,2,AR$33:AR$43)</f>
        <v>42289</v>
      </c>
      <c r="BC20" s="64"/>
      <c r="BD20" s="65">
        <f>+BE20-BA20</f>
        <v>29</v>
      </c>
      <c r="BE20" s="47">
        <v>42314</v>
      </c>
      <c r="BF20" s="46">
        <f>WORKDAY(BE20,2,AV$33:AV$43)</f>
        <v>42318</v>
      </c>
      <c r="BG20" s="64"/>
      <c r="BH20" s="65">
        <f>+BI20-BE20</f>
        <v>32</v>
      </c>
      <c r="BI20" s="47">
        <v>42346</v>
      </c>
      <c r="BJ20" s="46">
        <f>WORKDAY(BI20,2,AZ$33:AZ$43)</f>
        <v>42348</v>
      </c>
      <c r="BK20" s="64"/>
      <c r="BL20" s="65"/>
      <c r="BM20" s="47"/>
      <c r="BN20" s="46"/>
      <c r="BO20" s="64"/>
      <c r="BP20" s="65"/>
      <c r="BQ20" s="47"/>
      <c r="BR20" s="46"/>
      <c r="BS20" s="64"/>
      <c r="BT20" s="65"/>
      <c r="BU20" s="47"/>
      <c r="BV20" s="46"/>
      <c r="BW20" s="64"/>
      <c r="BX20" s="65"/>
      <c r="BY20" s="47"/>
      <c r="BZ20" s="46"/>
      <c r="CA20" s="64"/>
      <c r="CB20" s="65"/>
      <c r="CC20" s="47"/>
      <c r="CD20" s="46"/>
      <c r="CE20" s="64"/>
      <c r="CF20" s="65"/>
      <c r="CG20" s="47"/>
      <c r="CH20" s="46"/>
      <c r="CI20" s="64"/>
      <c r="CJ20" s="65"/>
      <c r="CK20" s="47"/>
      <c r="CL20" s="46"/>
      <c r="CM20" s="64"/>
      <c r="CN20" s="65"/>
      <c r="CO20" s="47"/>
      <c r="CP20" s="46"/>
      <c r="CQ20" s="64"/>
      <c r="CR20" s="65"/>
      <c r="CS20" s="47"/>
      <c r="CT20" s="46"/>
      <c r="CU20" s="64"/>
      <c r="CV20" s="65"/>
      <c r="CW20" s="47"/>
      <c r="CX20" s="46"/>
      <c r="CY20" s="64"/>
      <c r="CZ20" s="65"/>
      <c r="DA20" s="47"/>
      <c r="DB20" s="46"/>
      <c r="DC20" s="64"/>
      <c r="DD20" s="65"/>
      <c r="DE20" s="47"/>
      <c r="DF20" s="46"/>
      <c r="DG20" s="64"/>
      <c r="DH20" s="65"/>
      <c r="DI20" s="47"/>
      <c r="DJ20" s="46"/>
      <c r="DK20" s="64"/>
      <c r="DL20" s="65"/>
      <c r="DM20" s="47"/>
      <c r="DN20" s="46"/>
      <c r="DO20" s="64"/>
      <c r="DP20" s="65"/>
      <c r="DQ20" s="47"/>
      <c r="DR20" s="46"/>
      <c r="DS20" s="64"/>
      <c r="DT20" s="65"/>
      <c r="DU20" s="47"/>
      <c r="DV20" s="46"/>
      <c r="DW20" s="64"/>
      <c r="DX20" s="65"/>
      <c r="DY20" s="47"/>
      <c r="DZ20" s="46"/>
      <c r="EA20" s="64"/>
      <c r="EB20" s="65"/>
      <c r="EC20" s="47"/>
      <c r="ED20" s="46"/>
      <c r="EE20" s="64"/>
      <c r="EF20" s="65"/>
      <c r="EG20" s="47"/>
      <c r="EH20" s="46"/>
      <c r="EI20" s="64"/>
      <c r="EJ20" s="65"/>
      <c r="EK20" s="47"/>
      <c r="EL20" s="46"/>
      <c r="EM20" s="64"/>
      <c r="EN20" s="65"/>
      <c r="EO20" s="47"/>
      <c r="EP20" s="46"/>
      <c r="EQ20" s="64"/>
    </row>
    <row r="21" spans="1:147" x14ac:dyDescent="0.25">
      <c r="A21">
        <v>8</v>
      </c>
      <c r="C21" s="47">
        <v>39244</v>
      </c>
      <c r="D21" s="46">
        <f>WORKDAY(C21,2,$C$33:$C$42)</f>
        <v>39246</v>
      </c>
      <c r="F21" s="47">
        <v>39336</v>
      </c>
      <c r="G21" s="46">
        <f>WORKDAY(F21,2,$C$33:$C$42)</f>
        <v>39338</v>
      </c>
      <c r="I21" s="47">
        <v>39426</v>
      </c>
      <c r="J21" s="46">
        <f>WORKDAY(I21,2,$C$33:$C$42)</f>
        <v>39428</v>
      </c>
      <c r="L21" s="47">
        <v>39517</v>
      </c>
      <c r="M21" s="46">
        <f>WORKDAY(L21,2,$L$33:$L$42)</f>
        <v>39519</v>
      </c>
      <c r="O21" s="47">
        <v>39609</v>
      </c>
      <c r="P21" s="46">
        <f>WORKDAY(O21,2,$L$33:$L$42)</f>
        <v>39611</v>
      </c>
      <c r="R21" s="47">
        <v>39701</v>
      </c>
      <c r="S21" s="46">
        <f>WORKDAY(R21,2,$L$33:$L$42)</f>
        <v>39703</v>
      </c>
      <c r="U21" s="47">
        <v>39792</v>
      </c>
      <c r="V21" s="46">
        <f>WORKDAY(U21,2,$L$33:$L$42)</f>
        <v>39794</v>
      </c>
      <c r="X21" s="47">
        <v>39882</v>
      </c>
      <c r="Y21" s="46">
        <f>WORKDAY(X21,2,X$33:X$43)</f>
        <v>39884</v>
      </c>
      <c r="AA21" s="47">
        <v>39974</v>
      </c>
      <c r="AB21" s="46">
        <f>WORKDAY(AA21,2,$L$33:$L$43)</f>
        <v>39976</v>
      </c>
      <c r="AD21" s="47">
        <v>40066</v>
      </c>
      <c r="AE21" s="46">
        <f>WORKDAY(AD21,2,X$33:X$43)</f>
        <v>40070</v>
      </c>
      <c r="AG21" s="47">
        <v>40156</v>
      </c>
      <c r="AH21" s="46">
        <f>WORKDAY(AG21,2,X$33:X$43)</f>
        <v>40158</v>
      </c>
      <c r="AJ21" s="63"/>
      <c r="AK21" s="47">
        <v>42164</v>
      </c>
      <c r="AL21" s="46">
        <f>WORKDAY(AK21,2,AB$33:AB$43)</f>
        <v>42166</v>
      </c>
      <c r="AM21" s="64"/>
      <c r="AN21" s="65">
        <f>+AO21-AK21</f>
        <v>34</v>
      </c>
      <c r="AO21" s="47">
        <v>42198</v>
      </c>
      <c r="AP21" s="46">
        <f>WORKDAY(AO21,2,AF$33:AF$43)</f>
        <v>42200</v>
      </c>
      <c r="AQ21" s="64"/>
      <c r="AR21" s="65">
        <f>+AS21-AO21</f>
        <v>29</v>
      </c>
      <c r="AS21" s="47">
        <v>42227</v>
      </c>
      <c r="AT21" s="46">
        <f>WORKDAY(AS21,2,AJ$33:AJ$43)</f>
        <v>42229</v>
      </c>
      <c r="AU21" s="64"/>
      <c r="AV21" s="65">
        <f>+AW21-AS21</f>
        <v>30</v>
      </c>
      <c r="AW21" s="47">
        <v>42257</v>
      </c>
      <c r="AX21" s="46">
        <f>WORKDAY(AW21,2,AN$33:AN$43)</f>
        <v>42261</v>
      </c>
      <c r="AY21" s="64"/>
      <c r="AZ21" s="65">
        <f>+BA21-AW21</f>
        <v>29</v>
      </c>
      <c r="BA21" s="47">
        <v>42286</v>
      </c>
      <c r="BB21" s="46">
        <f>WORKDAY(BA21,2,AR$33:AR$43)</f>
        <v>42290</v>
      </c>
      <c r="BC21" s="64"/>
      <c r="BD21" s="65">
        <f>+BE21-BA21</f>
        <v>31</v>
      </c>
      <c r="BE21" s="47">
        <v>42317</v>
      </c>
      <c r="BF21" s="46">
        <f>WORKDAY(BE21,2,AV$33:AV$43)</f>
        <v>42319</v>
      </c>
      <c r="BG21" s="64"/>
      <c r="BH21" s="65">
        <f>+BI21-BE21</f>
        <v>30</v>
      </c>
      <c r="BI21" s="47">
        <v>42347</v>
      </c>
      <c r="BJ21" s="46">
        <f>WORKDAY(BI21,2,AZ$33:AZ$43)</f>
        <v>42349</v>
      </c>
      <c r="BK21" s="64"/>
      <c r="BL21" s="65">
        <f>+BM21-BI21</f>
        <v>33</v>
      </c>
      <c r="BM21" s="47">
        <v>42380</v>
      </c>
      <c r="BN21" s="46">
        <f>WORKDAY(BM21,2,BD$33:BD$43)</f>
        <v>42382</v>
      </c>
      <c r="BO21" s="64"/>
      <c r="BP21" s="65">
        <f>+BQ21-BM21</f>
        <v>29</v>
      </c>
      <c r="BQ21" s="47">
        <v>42409</v>
      </c>
      <c r="BR21" s="46">
        <f>WORKDAY(BQ21,2,BH$33:BH$43)</f>
        <v>42411</v>
      </c>
      <c r="BS21" s="64"/>
      <c r="BT21" s="65">
        <f>+BU21-BQ21</f>
        <v>29</v>
      </c>
      <c r="BU21" s="47">
        <v>42438</v>
      </c>
      <c r="BV21" s="46">
        <f>WORKDAY(BU21,2,BL$33:BL$43)</f>
        <v>42440</v>
      </c>
      <c r="BW21" s="64"/>
      <c r="BX21" s="65">
        <f>+BY21-BU21</f>
        <v>30</v>
      </c>
      <c r="BY21" s="47">
        <v>42468</v>
      </c>
      <c r="BZ21" s="46">
        <f t="shared" si="3"/>
        <v>42472</v>
      </c>
      <c r="CA21" s="64"/>
      <c r="CB21" s="65">
        <f>+CC21-BY21</f>
        <v>31</v>
      </c>
      <c r="CC21" s="47">
        <v>42499</v>
      </c>
      <c r="CD21" s="46">
        <f t="shared" si="4"/>
        <v>42501</v>
      </c>
      <c r="CE21" s="64"/>
      <c r="CF21" s="65">
        <f>+CG21-CC21</f>
        <v>31</v>
      </c>
      <c r="CG21" s="47">
        <v>42530</v>
      </c>
      <c r="CH21" s="46">
        <f>WORKDAY(CG21,2)</f>
        <v>42534</v>
      </c>
      <c r="CI21" s="64"/>
      <c r="CJ21" s="65">
        <f>+CK21-CG21</f>
        <v>32</v>
      </c>
      <c r="CK21" s="47">
        <v>42562</v>
      </c>
      <c r="CL21" s="46">
        <f>WORKDAY(CK21,2)</f>
        <v>42564</v>
      </c>
      <c r="CM21" s="64"/>
      <c r="CN21" s="65">
        <f>+CO21-CK21</f>
        <v>29</v>
      </c>
      <c r="CO21" s="47">
        <v>42591</v>
      </c>
      <c r="CP21" s="46">
        <f>WORKDAY(CO21,2)</f>
        <v>42593</v>
      </c>
      <c r="CQ21" s="64"/>
      <c r="CR21" s="65">
        <f>+CS21-CO21</f>
        <v>31</v>
      </c>
      <c r="CS21" s="47">
        <v>42622</v>
      </c>
      <c r="CT21" s="46">
        <f>WORKDAY(CS21,2)</f>
        <v>42626</v>
      </c>
      <c r="CU21" s="64"/>
      <c r="CV21" s="65">
        <f>+CW21-CS21</f>
        <v>31</v>
      </c>
      <c r="CW21" s="47">
        <v>42653</v>
      </c>
      <c r="CX21" s="46">
        <f>WORKDAY(CW21,2)</f>
        <v>42655</v>
      </c>
      <c r="CY21" s="64"/>
      <c r="CZ21" s="65">
        <f>+DA21-CW21</f>
        <v>29</v>
      </c>
      <c r="DA21" s="47">
        <v>42682</v>
      </c>
      <c r="DB21" s="46">
        <f>WORKDAY(DA21,2)</f>
        <v>42684</v>
      </c>
      <c r="DC21" s="64"/>
      <c r="DD21" s="65">
        <f>+DE21-DA21</f>
        <v>31</v>
      </c>
      <c r="DE21" s="47">
        <v>42713</v>
      </c>
      <c r="DF21" s="46">
        <f>WORKDAY(DE21,2)</f>
        <v>42717</v>
      </c>
      <c r="DG21" s="64"/>
      <c r="DH21" s="65">
        <f>+DI21-DE21</f>
        <v>33</v>
      </c>
      <c r="DI21" s="47">
        <v>42746</v>
      </c>
      <c r="DJ21" s="46">
        <f>WORKDAY(DI21,2)</f>
        <v>42748</v>
      </c>
      <c r="DK21" s="64"/>
      <c r="DL21" s="65">
        <f>+DM21-DI21</f>
        <v>29</v>
      </c>
      <c r="DM21" s="47">
        <v>42775</v>
      </c>
      <c r="DN21" s="46">
        <f>WORKDAY(DM21,2)</f>
        <v>42779</v>
      </c>
      <c r="DO21" s="64"/>
      <c r="DP21" s="65">
        <f>+DQ21-DM21</f>
        <v>29</v>
      </c>
      <c r="DQ21" s="47">
        <v>42804</v>
      </c>
      <c r="DR21" s="46">
        <f>WORKDAY(DQ21,2)</f>
        <v>42808</v>
      </c>
      <c r="DS21" s="64"/>
      <c r="DT21" s="65">
        <f>+DU21-DQ21</f>
        <v>731</v>
      </c>
      <c r="DU21" s="47">
        <v>43535</v>
      </c>
      <c r="DV21" s="46">
        <f>WORKDAY(DU21,2)</f>
        <v>43537</v>
      </c>
      <c r="DW21" s="64"/>
      <c r="DX21" s="65">
        <f>+DY21-DU21</f>
        <v>30</v>
      </c>
      <c r="DY21" s="47">
        <v>43565</v>
      </c>
      <c r="DZ21" s="46">
        <f>WORKDAY(DY21,2)</f>
        <v>43567</v>
      </c>
      <c r="EA21" s="64"/>
      <c r="EB21" s="65">
        <f>+EC21-DY21</f>
        <v>30</v>
      </c>
      <c r="EC21" s="47">
        <v>43595</v>
      </c>
      <c r="ED21" s="46">
        <f t="shared" ref="ED21:ED27" si="5">WORKDAY(EC21,2)</f>
        <v>43599</v>
      </c>
      <c r="EE21" s="64"/>
      <c r="EF21" s="65">
        <f>+EG21-EC21</f>
        <v>32</v>
      </c>
      <c r="EG21" s="47">
        <v>43627</v>
      </c>
      <c r="EH21" s="46">
        <f>WORKDAY(EG21,2)</f>
        <v>43629</v>
      </c>
      <c r="EI21" s="64"/>
      <c r="EJ21" s="65">
        <f>+EK21-EG21</f>
        <v>29</v>
      </c>
      <c r="EK21" s="47">
        <v>43656</v>
      </c>
      <c r="EL21" s="46">
        <f>WORKDAY(EK21,2)</f>
        <v>43658</v>
      </c>
      <c r="EM21" s="64"/>
      <c r="EN21" s="65">
        <f>+EO21-EK21</f>
        <v>33</v>
      </c>
      <c r="EO21" s="47">
        <v>43689</v>
      </c>
      <c r="EP21" s="46">
        <f>WORKDAY(EO21,2)</f>
        <v>43691</v>
      </c>
      <c r="EQ21" s="64"/>
    </row>
    <row r="22" spans="1:147" x14ac:dyDescent="0.25">
      <c r="A22">
        <v>9</v>
      </c>
      <c r="C22" s="47">
        <v>39245</v>
      </c>
      <c r="D22" s="46">
        <f>WORKDAY(C22,2,$C$33:$C$42)</f>
        <v>39247</v>
      </c>
      <c r="F22" s="47">
        <v>39337</v>
      </c>
      <c r="G22" s="46">
        <f>WORKDAY(F22,2,$C$33:$C$42)</f>
        <v>39339</v>
      </c>
      <c r="I22" s="47">
        <v>39427</v>
      </c>
      <c r="J22" s="46">
        <f>WORKDAY(I22,2,$C$33:$C$42)</f>
        <v>39429</v>
      </c>
      <c r="L22" s="47">
        <v>39518</v>
      </c>
      <c r="M22" s="46">
        <f>WORKDAY(L22,2,$L$33:$L$42)</f>
        <v>39520</v>
      </c>
      <c r="O22" s="47">
        <v>39610</v>
      </c>
      <c r="P22" s="46">
        <f>WORKDAY(O22,2,$L$33:$L$42)</f>
        <v>39612</v>
      </c>
      <c r="R22" s="47">
        <v>39702</v>
      </c>
      <c r="S22" s="46">
        <f>WORKDAY(R22,2,$L$33:$L$42)</f>
        <v>39706</v>
      </c>
      <c r="U22" s="47">
        <v>39793</v>
      </c>
      <c r="V22" s="46">
        <f>WORKDAY(U22,2,$L$33:$L$42)</f>
        <v>39797</v>
      </c>
      <c r="X22" s="47">
        <v>39883</v>
      </c>
      <c r="Y22" s="46">
        <f>WORKDAY(X22,2,X$33:X$43)</f>
        <v>39885</v>
      </c>
      <c r="AA22" s="47">
        <v>39975</v>
      </c>
      <c r="AB22" s="46">
        <f>WORKDAY(AA22,2,$L$33:$L$43)</f>
        <v>39979</v>
      </c>
      <c r="AD22" s="47">
        <v>40067</v>
      </c>
      <c r="AE22" s="46">
        <f>WORKDAY(AD22,2,X$33:X$43)</f>
        <v>40071</v>
      </c>
      <c r="AG22" s="47">
        <v>40157</v>
      </c>
      <c r="AH22" s="46">
        <f>WORKDAY(AG22,2,X$33:X$43)</f>
        <v>40161</v>
      </c>
      <c r="AJ22" s="63"/>
      <c r="AK22" s="47">
        <v>42165</v>
      </c>
      <c r="AL22" s="46">
        <f>WORKDAY(AK22,2,AB$33:AB$43)</f>
        <v>42167</v>
      </c>
      <c r="AM22" s="64"/>
      <c r="AN22" s="65">
        <f>+AO22-AK22</f>
        <v>34</v>
      </c>
      <c r="AO22" s="47">
        <v>42199</v>
      </c>
      <c r="AP22" s="46">
        <f>WORKDAY(AO22,2,AF$33:AF$43)</f>
        <v>42201</v>
      </c>
      <c r="AQ22" s="64"/>
      <c r="AR22" s="65">
        <f>+AS22-AO22</f>
        <v>29</v>
      </c>
      <c r="AS22" s="47">
        <v>42228</v>
      </c>
      <c r="AT22" s="46">
        <f>WORKDAY(AS22,2,AJ$33:AJ$43)</f>
        <v>42230</v>
      </c>
      <c r="AU22" s="64"/>
      <c r="AV22" s="65">
        <f>+AW22-AS22</f>
        <v>30</v>
      </c>
      <c r="AW22" s="47">
        <v>42258</v>
      </c>
      <c r="AX22" s="46">
        <f>WORKDAY(AW22,2,AN$33:AN$43)</f>
        <v>42262</v>
      </c>
      <c r="AY22" s="64"/>
      <c r="AZ22" s="65">
        <f>+BA22-AW22</f>
        <v>32</v>
      </c>
      <c r="BA22" s="47">
        <v>42290</v>
      </c>
      <c r="BB22" s="46">
        <f>WORKDAY(BA22,2,AR$33:AR$43)</f>
        <v>42292</v>
      </c>
      <c r="BC22" s="64"/>
      <c r="BD22" s="65">
        <f>+BE22-BA22</f>
        <v>28</v>
      </c>
      <c r="BE22" s="47">
        <v>42318</v>
      </c>
      <c r="BF22" s="46">
        <f>WORKDAY(BE22,2,AV$33:AV$43)</f>
        <v>42320</v>
      </c>
      <c r="BG22" s="64"/>
      <c r="BH22" s="65">
        <f>+BI22-BE22</f>
        <v>30</v>
      </c>
      <c r="BI22" s="47">
        <v>42348</v>
      </c>
      <c r="BJ22" s="46">
        <f>WORKDAY(BI22,2,AZ$33:AZ$43)</f>
        <v>42352</v>
      </c>
      <c r="BK22" s="64"/>
      <c r="BL22" s="65">
        <f>+BM22-BI22</f>
        <v>33</v>
      </c>
      <c r="BM22" s="47">
        <v>42381</v>
      </c>
      <c r="BN22" s="46">
        <f>WORKDAY(BM22,2,BD$33:BD$43)</f>
        <v>42383</v>
      </c>
      <c r="BO22" s="64"/>
      <c r="BP22" s="65">
        <f>+BQ22-BM22</f>
        <v>29</v>
      </c>
      <c r="BQ22" s="47">
        <v>42410</v>
      </c>
      <c r="BR22" s="46">
        <f>WORKDAY(BQ22,2,BH$33:BH$43)</f>
        <v>42412</v>
      </c>
      <c r="BS22" s="64"/>
      <c r="BT22" s="65">
        <f>+BU22-BQ22</f>
        <v>30</v>
      </c>
      <c r="BU22" s="47">
        <v>42440</v>
      </c>
      <c r="BV22" s="46">
        <f>WORKDAY(BU22,2,BL$33:BL$43)</f>
        <v>42444</v>
      </c>
      <c r="BW22" s="64"/>
      <c r="BX22" s="65">
        <f>+BY22-BU22</f>
        <v>31</v>
      </c>
      <c r="BY22" s="47">
        <v>42471</v>
      </c>
      <c r="BZ22" s="46">
        <f t="shared" si="3"/>
        <v>42473</v>
      </c>
      <c r="CA22" s="64"/>
      <c r="CB22" s="65">
        <f>+CC22-BY22</f>
        <v>29</v>
      </c>
      <c r="CC22" s="47">
        <v>42500</v>
      </c>
      <c r="CD22" s="46">
        <f t="shared" si="4"/>
        <v>42502</v>
      </c>
      <c r="CE22" s="64"/>
      <c r="CF22" s="65">
        <f>+CG22-CC22</f>
        <v>31</v>
      </c>
      <c r="CG22" s="47">
        <v>42531</v>
      </c>
      <c r="CH22" s="46">
        <f>WORKDAY(CG22,2)</f>
        <v>42535</v>
      </c>
      <c r="CI22" s="64"/>
      <c r="CJ22" s="65">
        <f>+CK22-CG22</f>
        <v>32</v>
      </c>
      <c r="CK22" s="47">
        <v>42563</v>
      </c>
      <c r="CL22" s="46">
        <f>WORKDAY(CK22,2)</f>
        <v>42565</v>
      </c>
      <c r="CM22" s="64"/>
      <c r="CN22" s="65">
        <f>+CO22-CK22</f>
        <v>29</v>
      </c>
      <c r="CO22" s="47">
        <v>42592</v>
      </c>
      <c r="CP22" s="46">
        <f>WORKDAY(CO22,2)</f>
        <v>42594</v>
      </c>
      <c r="CQ22" s="64"/>
      <c r="CR22" s="65">
        <f>+CS22-CO22</f>
        <v>33</v>
      </c>
      <c r="CS22" s="47">
        <v>42625</v>
      </c>
      <c r="CT22" s="46">
        <f>WORKDAY(CS22,2)</f>
        <v>42627</v>
      </c>
      <c r="CU22" s="64"/>
      <c r="CV22" s="65">
        <f>+CW22-CS22</f>
        <v>29</v>
      </c>
      <c r="CW22" s="47">
        <v>42654</v>
      </c>
      <c r="CX22" s="46">
        <f>WORKDAY(CW22,2)</f>
        <v>42656</v>
      </c>
      <c r="CY22" s="64"/>
      <c r="CZ22" s="65">
        <f>+DA22-CW22</f>
        <v>29</v>
      </c>
      <c r="DA22" s="47">
        <v>42683</v>
      </c>
      <c r="DB22" s="46">
        <f>WORKDAY(DA22,2)</f>
        <v>42685</v>
      </c>
      <c r="DC22" s="64"/>
      <c r="DD22" s="65">
        <f>+DE22-DA22</f>
        <v>33</v>
      </c>
      <c r="DE22" s="47">
        <v>42716</v>
      </c>
      <c r="DF22" s="46">
        <f>WORKDAY(DE22,2)</f>
        <v>42718</v>
      </c>
      <c r="DG22" s="64"/>
      <c r="DH22" s="65">
        <f>+DI22-DE22</f>
        <v>31</v>
      </c>
      <c r="DI22" s="47">
        <v>42747</v>
      </c>
      <c r="DJ22" s="46">
        <f>WORKDAY(DI22,2)</f>
        <v>42751</v>
      </c>
      <c r="DK22" s="64"/>
      <c r="DL22" s="65">
        <f>+DM22-DI22</f>
        <v>29</v>
      </c>
      <c r="DM22" s="47">
        <v>42776</v>
      </c>
      <c r="DN22" s="46">
        <f>WORKDAY(DM22,2)</f>
        <v>42780</v>
      </c>
      <c r="DO22" s="64"/>
      <c r="DP22" s="65">
        <f>+DQ22-DM22</f>
        <v>31</v>
      </c>
      <c r="DQ22" s="47">
        <v>42807</v>
      </c>
      <c r="DR22" s="46">
        <f>WORKDAY(DQ22,2)</f>
        <v>42809</v>
      </c>
      <c r="DS22" s="64"/>
      <c r="DT22" s="65">
        <f>+DU22-DQ22</f>
        <v>729</v>
      </c>
      <c r="DU22" s="47">
        <v>43536</v>
      </c>
      <c r="DV22" s="46">
        <f>WORKDAY(DU22,2)</f>
        <v>43538</v>
      </c>
      <c r="DW22" s="64"/>
      <c r="DX22" s="65">
        <f>+DY22-DU22</f>
        <v>30</v>
      </c>
      <c r="DY22" s="47">
        <v>43566</v>
      </c>
      <c r="DZ22" s="46">
        <f>WORKDAY(DY22,2)</f>
        <v>43570</v>
      </c>
      <c r="EA22" s="64"/>
      <c r="EB22" s="65">
        <f>+EC22-DY22</f>
        <v>32</v>
      </c>
      <c r="EC22" s="47">
        <v>43598</v>
      </c>
      <c r="ED22" s="46">
        <f t="shared" si="5"/>
        <v>43600</v>
      </c>
      <c r="EE22" s="64"/>
      <c r="EF22" s="65">
        <f>+EG22-EC22</f>
        <v>30</v>
      </c>
      <c r="EG22" s="47">
        <v>43628</v>
      </c>
      <c r="EH22" s="46">
        <f>WORKDAY(EG22,2)</f>
        <v>43630</v>
      </c>
      <c r="EI22" s="64"/>
      <c r="EJ22" s="65">
        <f>+EK22-EG22</f>
        <v>30</v>
      </c>
      <c r="EK22" s="47">
        <v>43658</v>
      </c>
      <c r="EL22" s="46">
        <f>WORKDAY(EK22,2)</f>
        <v>43662</v>
      </c>
      <c r="EM22" s="64"/>
      <c r="EN22" s="65">
        <f>+EO22-EK22</f>
        <v>32</v>
      </c>
      <c r="EO22" s="47">
        <v>43690</v>
      </c>
      <c r="EP22" s="46">
        <f>WORKDAY(EO22,2)</f>
        <v>43692</v>
      </c>
      <c r="EQ22" s="64"/>
    </row>
    <row r="23" spans="1:147" x14ac:dyDescent="0.25">
      <c r="A23">
        <v>10</v>
      </c>
      <c r="C23" s="47"/>
      <c r="D23" s="46"/>
      <c r="F23" s="47"/>
      <c r="G23" s="46"/>
      <c r="I23" s="47"/>
      <c r="J23" s="46"/>
      <c r="L23" s="47"/>
      <c r="M23" s="46"/>
      <c r="O23" s="47"/>
      <c r="P23" s="46"/>
      <c r="R23" s="47"/>
      <c r="S23" s="46"/>
      <c r="U23" s="47"/>
      <c r="V23" s="46"/>
      <c r="X23" s="47"/>
      <c r="Y23" s="46"/>
      <c r="AA23" s="47"/>
      <c r="AB23" s="46"/>
      <c r="AD23" s="47"/>
      <c r="AE23" s="46"/>
      <c r="AG23" s="47"/>
      <c r="AH23" s="46"/>
      <c r="AJ23" s="63"/>
      <c r="AK23" s="47"/>
      <c r="AL23" s="46"/>
      <c r="AM23" s="64"/>
      <c r="AN23" s="65"/>
      <c r="AO23" s="47"/>
      <c r="AP23" s="46"/>
      <c r="AQ23" s="64"/>
      <c r="AR23" s="65"/>
      <c r="AS23" s="47">
        <v>42229</v>
      </c>
      <c r="AT23" s="46">
        <f>WORKDAY(AS23,2,AJ$33:AJ$43)</f>
        <v>42233</v>
      </c>
      <c r="AU23" s="64"/>
      <c r="AV23" s="65">
        <f>+AW23-AS23</f>
        <v>32</v>
      </c>
      <c r="AW23" s="47">
        <v>42261</v>
      </c>
      <c r="AX23" s="46">
        <f>WORKDAY(AW23,2,AN$33:AN$43)</f>
        <v>42263</v>
      </c>
      <c r="AY23" s="64"/>
      <c r="AZ23" s="65">
        <f>+BA23-AW23</f>
        <v>30</v>
      </c>
      <c r="BA23" s="47">
        <v>42291</v>
      </c>
      <c r="BB23" s="46">
        <f>WORKDAY(BA23,2,AR$33:AR$43)</f>
        <v>42293</v>
      </c>
      <c r="BC23" s="64"/>
      <c r="BD23" s="65">
        <f>+BE23-BA23</f>
        <v>28</v>
      </c>
      <c r="BE23" s="47">
        <v>42319</v>
      </c>
      <c r="BF23" s="46">
        <f>WORKDAY(BE23,2,AV$33:AV$43)</f>
        <v>42321</v>
      </c>
      <c r="BG23" s="64"/>
      <c r="BH23" s="65">
        <f>+BI23-BE23</f>
        <v>30</v>
      </c>
      <c r="BI23" s="47">
        <v>42349</v>
      </c>
      <c r="BJ23" s="46">
        <f>WORKDAY(BI23,2,AZ$33:AZ$43)</f>
        <v>42353</v>
      </c>
      <c r="BK23" s="64"/>
      <c r="BL23" s="65">
        <f>+BM23-BI23</f>
        <v>33</v>
      </c>
      <c r="BM23" s="47">
        <v>42382</v>
      </c>
      <c r="BN23" s="46">
        <f>WORKDAY(BM23,2,BD$33:BD$43)</f>
        <v>42384</v>
      </c>
      <c r="BO23" s="64"/>
      <c r="BP23" s="65">
        <f>+BQ23-BM23</f>
        <v>29</v>
      </c>
      <c r="BQ23" s="47">
        <v>42411</v>
      </c>
      <c r="BR23" s="46">
        <f>WORKDAY(BQ23,2,BH$33:BH$43)</f>
        <v>42415</v>
      </c>
      <c r="BS23" s="64"/>
      <c r="BT23" s="65">
        <f>+BU23-BQ23</f>
        <v>32</v>
      </c>
      <c r="BU23" s="47">
        <v>42443</v>
      </c>
      <c r="BV23" s="46">
        <f>WORKDAY(BU23,2,BL$33:BL$43)</f>
        <v>42445</v>
      </c>
      <c r="BW23" s="64"/>
      <c r="BX23" s="65">
        <f>+BY23-BU23</f>
        <v>29</v>
      </c>
      <c r="BY23" s="47">
        <v>42472</v>
      </c>
      <c r="BZ23" s="46">
        <f t="shared" si="3"/>
        <v>42474</v>
      </c>
      <c r="CA23" s="64"/>
      <c r="CB23" s="65">
        <f>+CC23-BY23</f>
        <v>29</v>
      </c>
      <c r="CC23" s="47">
        <v>42501</v>
      </c>
      <c r="CD23" s="46">
        <f t="shared" si="4"/>
        <v>42503</v>
      </c>
      <c r="CE23" s="64"/>
      <c r="CF23" s="65">
        <f>+CG23-CC23</f>
        <v>33</v>
      </c>
      <c r="CG23" s="47">
        <v>42534</v>
      </c>
      <c r="CH23" s="46">
        <f>WORKDAY(CG23,2)</f>
        <v>42536</v>
      </c>
      <c r="CI23" s="64"/>
      <c r="CJ23" s="65">
        <f>+CK23-CG23</f>
        <v>30</v>
      </c>
      <c r="CK23" s="47">
        <v>42564</v>
      </c>
      <c r="CL23" s="46">
        <f>WORKDAY(CK23,2)</f>
        <v>42566</v>
      </c>
      <c r="CM23" s="64"/>
      <c r="CN23" s="65">
        <f>+CO23-CK23</f>
        <v>30</v>
      </c>
      <c r="CO23" s="47">
        <v>42594</v>
      </c>
      <c r="CP23" s="46">
        <f>WORKDAY(CO23,2)</f>
        <v>42598</v>
      </c>
      <c r="CQ23" s="64"/>
      <c r="CR23" s="65">
        <f>+CS23-CO23</f>
        <v>32</v>
      </c>
      <c r="CS23" s="47">
        <v>42626</v>
      </c>
      <c r="CT23" s="46">
        <f>WORKDAY(CS23,2)</f>
        <v>42628</v>
      </c>
      <c r="CU23" s="64"/>
      <c r="CV23" s="65">
        <f>+CW23-CS23</f>
        <v>29</v>
      </c>
      <c r="CW23" s="47">
        <v>42655</v>
      </c>
      <c r="CX23" s="46">
        <f>WORKDAY(CW23,2)</f>
        <v>42657</v>
      </c>
      <c r="CY23" s="64"/>
      <c r="CZ23" s="65">
        <f>+DA23-CW23</f>
        <v>30</v>
      </c>
      <c r="DA23" s="47">
        <v>42685</v>
      </c>
      <c r="DB23" s="46">
        <f>WORKDAY(DA23,2)</f>
        <v>42689</v>
      </c>
      <c r="DC23" s="64"/>
      <c r="DD23" s="65">
        <f>+DE23-DA23</f>
        <v>32</v>
      </c>
      <c r="DE23" s="47">
        <v>42717</v>
      </c>
      <c r="DF23" s="46">
        <f>WORKDAY(DE23,2)</f>
        <v>42719</v>
      </c>
      <c r="DG23" s="64"/>
      <c r="DH23" s="65">
        <f>+DI23-DE23</f>
        <v>31</v>
      </c>
      <c r="DI23" s="47">
        <v>42748</v>
      </c>
      <c r="DJ23" s="46">
        <f>WORKDAY(DI23,2)</f>
        <v>42752</v>
      </c>
      <c r="DK23" s="64"/>
      <c r="DL23" s="65">
        <f>+DM23-DI23</f>
        <v>31</v>
      </c>
      <c r="DM23" s="47">
        <v>42779</v>
      </c>
      <c r="DN23" s="46">
        <f>WORKDAY(DM23,2)</f>
        <v>42781</v>
      </c>
      <c r="DO23" s="64"/>
      <c r="DP23" s="65">
        <f>+DQ23-DM23</f>
        <v>29</v>
      </c>
      <c r="DQ23" s="47">
        <v>42808</v>
      </c>
      <c r="DR23" s="46">
        <f>WORKDAY(DQ23,2)</f>
        <v>42810</v>
      </c>
      <c r="DS23" s="64"/>
      <c r="DT23" s="65">
        <f>+DU23-DQ23</f>
        <v>729</v>
      </c>
      <c r="DU23" s="47">
        <v>43537</v>
      </c>
      <c r="DV23" s="46">
        <f>WORKDAY(DU23,2)</f>
        <v>43539</v>
      </c>
      <c r="DW23" s="64"/>
      <c r="DX23" s="65">
        <f>+DY23-DU23</f>
        <v>30</v>
      </c>
      <c r="DY23" s="47">
        <v>43567</v>
      </c>
      <c r="DZ23" s="46">
        <f>WORKDAY(DY23,2)</f>
        <v>43571</v>
      </c>
      <c r="EA23" s="64"/>
      <c r="EB23" s="65">
        <f>+EC23-DY23</f>
        <v>32</v>
      </c>
      <c r="EC23" s="47">
        <v>43599</v>
      </c>
      <c r="ED23" s="46">
        <f t="shared" si="5"/>
        <v>43601</v>
      </c>
      <c r="EE23" s="64"/>
      <c r="EF23" s="65">
        <f>+EG23-EC23</f>
        <v>30</v>
      </c>
      <c r="EG23" s="47">
        <v>43629</v>
      </c>
      <c r="EH23" s="46">
        <f>WORKDAY(EG23,2)</f>
        <v>43633</v>
      </c>
      <c r="EI23" s="64"/>
      <c r="EJ23" s="65">
        <f>+EK23-EG23</f>
        <v>32</v>
      </c>
      <c r="EK23" s="47">
        <v>43661</v>
      </c>
      <c r="EL23" s="46">
        <f>WORKDAY(EK23,2)</f>
        <v>43663</v>
      </c>
      <c r="EM23" s="64"/>
      <c r="EN23" s="65">
        <f>+EO23-EK23</f>
        <v>30</v>
      </c>
      <c r="EO23" s="47">
        <v>43691</v>
      </c>
      <c r="EP23" s="46">
        <f>WORKDAY(EO23,2)</f>
        <v>43693</v>
      </c>
      <c r="EQ23" s="64"/>
    </row>
    <row r="24" spans="1:147" x14ac:dyDescent="0.25">
      <c r="A24">
        <v>11</v>
      </c>
      <c r="C24" s="47"/>
      <c r="D24" s="46"/>
      <c r="F24" s="47"/>
      <c r="G24" s="46"/>
      <c r="I24" s="47"/>
      <c r="J24" s="46"/>
      <c r="L24" s="47"/>
      <c r="M24" s="46"/>
      <c r="O24" s="47"/>
      <c r="P24" s="46"/>
      <c r="R24" s="47"/>
      <c r="S24" s="46"/>
      <c r="U24" s="47"/>
      <c r="V24" s="46"/>
      <c r="X24" s="47"/>
      <c r="Y24" s="46"/>
      <c r="AA24" s="47"/>
      <c r="AB24" s="46"/>
      <c r="AD24" s="47"/>
      <c r="AE24" s="46"/>
      <c r="AG24" s="47"/>
      <c r="AH24" s="46"/>
      <c r="AJ24" s="63"/>
      <c r="AK24" s="47"/>
      <c r="AL24" s="46"/>
      <c r="AM24" s="64"/>
      <c r="AN24" s="65"/>
      <c r="AO24" s="47"/>
      <c r="AP24" s="46"/>
      <c r="AQ24" s="64"/>
      <c r="AR24" s="65"/>
      <c r="AS24" s="47">
        <v>42230</v>
      </c>
      <c r="AT24" s="46">
        <f>WORKDAY(AS24,2,AJ$33:AJ$43)</f>
        <v>42234</v>
      </c>
      <c r="AU24" s="64" t="str">
        <f>IF(AT24=AT11,"(d)")</f>
        <v>(d)</v>
      </c>
      <c r="AV24" s="65">
        <f>+AW24-AS24</f>
        <v>32</v>
      </c>
      <c r="AW24" s="47">
        <v>42262</v>
      </c>
      <c r="AX24" s="46">
        <f>WORKDAY(AW24,2,AN$33:AN$43)</f>
        <v>42264</v>
      </c>
      <c r="AY24" s="64" t="str">
        <f>IF(AX24=AX11,"(d)")</f>
        <v>(d)</v>
      </c>
      <c r="AZ24" s="65">
        <f>+BA24-AW24</f>
        <v>30</v>
      </c>
      <c r="BA24" s="47">
        <v>42292</v>
      </c>
      <c r="BB24" s="46">
        <f>WORKDAY(BA24,2,AR$33:AR$43)</f>
        <v>42296</v>
      </c>
      <c r="BC24" s="64" t="str">
        <f>IF(BB24=BB11,"(d)")</f>
        <v>(d)</v>
      </c>
      <c r="BD24" s="65">
        <f>+BE24-BA24</f>
        <v>28</v>
      </c>
      <c r="BE24" s="47">
        <v>42320</v>
      </c>
      <c r="BF24" s="46">
        <f>WORKDAY(BE24,2,AV$33:AV$43)</f>
        <v>42324</v>
      </c>
      <c r="BG24" s="64" t="str">
        <f>IF(BF24=BF11,"(d)")</f>
        <v>(d)</v>
      </c>
      <c r="BH24" s="65">
        <f>+BI24-BE24</f>
        <v>32</v>
      </c>
      <c r="BI24" s="47">
        <v>42352</v>
      </c>
      <c r="BJ24" s="46">
        <f>WORKDAY(BI24,2,AZ$33:AZ$43)</f>
        <v>42354</v>
      </c>
      <c r="BK24" s="64" t="str">
        <f>IF(BJ24=BJ11,"(d)")</f>
        <v>(d)</v>
      </c>
      <c r="BL24" s="65">
        <f>+BM24-BI24</f>
        <v>31</v>
      </c>
      <c r="BM24" s="47">
        <v>42383</v>
      </c>
      <c r="BN24" s="46">
        <f>WORKDAY(BM24,2,BD$33:BD$43)</f>
        <v>42387</v>
      </c>
      <c r="BO24" s="64" t="str">
        <f>IF(BN24=BN11,"(d)")</f>
        <v>(d)</v>
      </c>
      <c r="BP24" s="65">
        <f>+BQ24-BM24</f>
        <v>29</v>
      </c>
      <c r="BQ24" s="47">
        <v>42412</v>
      </c>
      <c r="BR24" s="46">
        <f>WORKDAY(BQ24,2,BH$33:BH$43)</f>
        <v>42416</v>
      </c>
      <c r="BS24" s="64" t="str">
        <f>IF(BR24=BR11,"(d)")</f>
        <v>(d)</v>
      </c>
      <c r="BT24" s="65">
        <f>+BU24-BQ24</f>
        <v>32</v>
      </c>
      <c r="BU24" s="47">
        <v>42444</v>
      </c>
      <c r="BV24" s="46">
        <f>WORKDAY(BU24,2,BL$33:BL$43)</f>
        <v>42446</v>
      </c>
      <c r="BW24" s="64" t="str">
        <f>IF(BV24=BV11,"(d)")</f>
        <v>(d)</v>
      </c>
      <c r="BX24" s="65">
        <f>+BY24-BU24</f>
        <v>29</v>
      </c>
      <c r="BY24" s="47">
        <v>42473</v>
      </c>
      <c r="BZ24" s="46">
        <f t="shared" si="3"/>
        <v>42475</v>
      </c>
      <c r="CA24" s="64" t="str">
        <f>IF(BZ24=BZ11,"(d)")</f>
        <v>(d)</v>
      </c>
      <c r="CB24" s="65">
        <f>+CC24-BY24</f>
        <v>30</v>
      </c>
      <c r="CC24" s="47">
        <v>42503</v>
      </c>
      <c r="CD24" s="46">
        <f t="shared" si="4"/>
        <v>42507</v>
      </c>
      <c r="CE24" s="64" t="str">
        <f>IF(CD24=CD11,"(d)")</f>
        <v>(d)</v>
      </c>
      <c r="CF24" s="65">
        <f>+CG24-CC24</f>
        <v>32</v>
      </c>
      <c r="CG24" s="47">
        <v>42535</v>
      </c>
      <c r="CH24" s="46">
        <f>WORKDAY(CG24,2)</f>
        <v>42537</v>
      </c>
      <c r="CI24" s="64" t="str">
        <f>IF(CH24=CH11,"(d)")</f>
        <v>(d)</v>
      </c>
      <c r="CJ24" s="65">
        <f>+CK24-CG24</f>
        <v>30</v>
      </c>
      <c r="CK24" s="47">
        <v>42565</v>
      </c>
      <c r="CL24" s="46">
        <f>WORKDAY(CK24,2)</f>
        <v>42569</v>
      </c>
      <c r="CM24" s="64" t="str">
        <f>IF(CL24=CL11,"(d)")</f>
        <v>(d)</v>
      </c>
      <c r="CN24" s="65">
        <f>+CO24-CK24</f>
        <v>32</v>
      </c>
      <c r="CO24" s="47">
        <v>42597</v>
      </c>
      <c r="CP24" s="46">
        <f>WORKDAY(CO24,2)</f>
        <v>42599</v>
      </c>
      <c r="CQ24" s="64" t="str">
        <f>IF(CP24=CP11,"(d)")</f>
        <v>(d)</v>
      </c>
      <c r="CR24" s="65">
        <f>+CS24-CO24</f>
        <v>30</v>
      </c>
      <c r="CS24" s="47">
        <v>42627</v>
      </c>
      <c r="CT24" s="46">
        <f>WORKDAY(CS24,2)</f>
        <v>42629</v>
      </c>
      <c r="CU24" s="64" t="str">
        <f>IF(CT24=CT11,"(d)")</f>
        <v>(d)</v>
      </c>
      <c r="CV24" s="65">
        <f>+CW24-CS24</f>
        <v>29</v>
      </c>
      <c r="CW24" s="47">
        <v>42656</v>
      </c>
      <c r="CX24" s="46">
        <f>WORKDAY(CW24,2)</f>
        <v>42660</v>
      </c>
      <c r="CY24" s="64" t="str">
        <f>IF(CX24=CX11,"(d)")</f>
        <v>(d)</v>
      </c>
      <c r="CZ24" s="65">
        <f>+DA24-CW24</f>
        <v>32</v>
      </c>
      <c r="DA24" s="47">
        <v>42688</v>
      </c>
      <c r="DB24" s="46">
        <f>WORKDAY(DA24,2)</f>
        <v>42690</v>
      </c>
      <c r="DC24" s="64" t="str">
        <f>IF(DB24=DB11,"(d)")</f>
        <v>(d)</v>
      </c>
      <c r="DD24" s="65">
        <f>+DE24-DA24</f>
        <v>30</v>
      </c>
      <c r="DE24" s="47">
        <v>42718</v>
      </c>
      <c r="DF24" s="46">
        <f>WORKDAY(DE24,2)</f>
        <v>42720</v>
      </c>
      <c r="DG24" s="64" t="str">
        <f>IF(DF24=DF11,"(d)")</f>
        <v>(d)</v>
      </c>
      <c r="DH24" s="65">
        <f>+DI24-DE24</f>
        <v>34</v>
      </c>
      <c r="DI24" s="47">
        <v>42752</v>
      </c>
      <c r="DJ24" s="46">
        <f>WORKDAY(DI24,2)</f>
        <v>42754</v>
      </c>
      <c r="DK24" s="64" t="str">
        <f>IF(DJ24=DJ11,"(d)")</f>
        <v>(d)</v>
      </c>
      <c r="DL24" s="65">
        <f>+DM24-DI24</f>
        <v>28</v>
      </c>
      <c r="DM24" s="47">
        <v>42780</v>
      </c>
      <c r="DN24" s="46">
        <f>WORKDAY(DM24,2)</f>
        <v>42782</v>
      </c>
      <c r="DO24" s="64" t="str">
        <f>IF(DN24=DN11,"(d)")</f>
        <v>(d)</v>
      </c>
      <c r="DP24" s="65">
        <f>+DQ24-DM24</f>
        <v>29</v>
      </c>
      <c r="DQ24" s="47">
        <v>42809</v>
      </c>
      <c r="DR24" s="46">
        <f>WORKDAY(DQ24,2)</f>
        <v>42811</v>
      </c>
      <c r="DS24" s="64" t="str">
        <f>IF(DR24=DR11,"(d)")</f>
        <v>(d)</v>
      </c>
      <c r="DT24" s="65">
        <f>+DU24-DQ24</f>
        <v>729</v>
      </c>
      <c r="DU24" s="47">
        <v>43538</v>
      </c>
      <c r="DV24" s="46">
        <f>WORKDAY(DU24,2)</f>
        <v>43542</v>
      </c>
      <c r="DW24" s="64" t="b">
        <f>IF(DV24=DV11,"(d)")</f>
        <v>0</v>
      </c>
      <c r="DX24" s="65">
        <f>+DY24-DU24</f>
        <v>32</v>
      </c>
      <c r="DY24" s="47">
        <v>43570</v>
      </c>
      <c r="DZ24" s="46">
        <f>WORKDAY(DY24,2)</f>
        <v>43572</v>
      </c>
      <c r="EA24" s="64" t="str">
        <f>IF(DZ24=DZ11,"(d)")</f>
        <v>(d)</v>
      </c>
      <c r="EB24" s="65">
        <f>+EC24-DY24</f>
        <v>30</v>
      </c>
      <c r="EC24" s="47">
        <v>43600</v>
      </c>
      <c r="ED24" s="46">
        <f t="shared" si="5"/>
        <v>43602</v>
      </c>
      <c r="EE24" s="64" t="str">
        <f>IF(ED24=ED11,"(d)")</f>
        <v>(d)</v>
      </c>
      <c r="EF24" s="65">
        <f>+EG24-EC24</f>
        <v>30</v>
      </c>
      <c r="EG24" s="47">
        <v>43630</v>
      </c>
      <c r="EH24" s="46">
        <f>WORKDAY(EG24,2)</f>
        <v>43634</v>
      </c>
      <c r="EI24" s="64" t="str">
        <f>IF(EH24=EH11,"(d)")</f>
        <v>(d)</v>
      </c>
      <c r="EJ24" s="65">
        <f>+EK24-EG24</f>
        <v>32</v>
      </c>
      <c r="EK24" s="47">
        <v>43662</v>
      </c>
      <c r="EL24" s="46">
        <f>WORKDAY(EK24,2)</f>
        <v>43664</v>
      </c>
      <c r="EM24" s="64" t="str">
        <f>IF(EL24=EL11,"(d)")</f>
        <v>(d)</v>
      </c>
      <c r="EN24" s="65">
        <f>+EO24-EK24</f>
        <v>30</v>
      </c>
      <c r="EO24" s="47">
        <v>43692</v>
      </c>
      <c r="EP24" s="46">
        <f>WORKDAY(EO24,2)</f>
        <v>43696</v>
      </c>
      <c r="EQ24" s="64" t="str">
        <f>IF(EP24=EP11,"(d)")</f>
        <v>(d)</v>
      </c>
    </row>
    <row r="25" spans="1:147" x14ac:dyDescent="0.25">
      <c r="C25" s="47"/>
      <c r="D25" s="46"/>
      <c r="F25" s="47"/>
      <c r="G25" s="46"/>
      <c r="I25" s="47"/>
      <c r="J25" s="46"/>
      <c r="L25" s="47"/>
      <c r="M25" s="46"/>
      <c r="O25" s="47"/>
      <c r="P25" s="46"/>
      <c r="R25" s="47"/>
      <c r="S25" s="46"/>
      <c r="U25" s="47"/>
      <c r="V25" s="46"/>
      <c r="X25" s="47"/>
      <c r="Y25" s="46"/>
      <c r="AA25" s="47"/>
      <c r="AB25" s="46"/>
      <c r="AD25" s="47"/>
      <c r="AE25" s="46"/>
      <c r="AG25" s="47"/>
      <c r="AH25" s="46"/>
      <c r="AJ25" s="63"/>
      <c r="AK25" s="47"/>
      <c r="AL25" s="46"/>
      <c r="AM25" s="64"/>
      <c r="AN25" s="65"/>
      <c r="AO25" s="47"/>
      <c r="AP25" s="46"/>
      <c r="AQ25" s="64"/>
      <c r="AR25" s="65"/>
      <c r="AS25" s="47"/>
      <c r="AT25" s="46"/>
      <c r="AU25" s="64"/>
      <c r="AV25" s="65"/>
      <c r="AW25" s="47"/>
      <c r="AX25" s="46"/>
      <c r="AY25" s="64"/>
      <c r="AZ25" s="65"/>
      <c r="BA25" s="47"/>
      <c r="BB25" s="46"/>
      <c r="BC25" s="64"/>
      <c r="BD25" s="65"/>
      <c r="BE25" s="47"/>
      <c r="BF25" s="46"/>
      <c r="BG25" s="64"/>
      <c r="BH25" s="65"/>
      <c r="BI25" s="47"/>
      <c r="BJ25" s="46"/>
      <c r="BK25" s="64"/>
      <c r="BL25" s="65"/>
      <c r="BM25" s="47"/>
      <c r="BN25" s="46"/>
      <c r="BO25" s="64"/>
      <c r="BP25" s="65"/>
      <c r="BQ25" s="47"/>
      <c r="BR25" s="46"/>
      <c r="BS25" s="64"/>
      <c r="BT25" s="65"/>
      <c r="BU25" s="47"/>
      <c r="BV25" s="46"/>
      <c r="BW25" s="64"/>
      <c r="BX25" s="65"/>
      <c r="BY25" s="47"/>
      <c r="BZ25" s="46"/>
      <c r="CA25" s="64"/>
      <c r="CB25" s="65"/>
      <c r="CC25" s="47"/>
      <c r="CD25" s="46"/>
      <c r="CE25" s="64"/>
      <c r="CF25" s="65"/>
      <c r="CG25" s="47"/>
      <c r="CH25" s="46"/>
      <c r="CI25" s="64"/>
      <c r="CJ25" s="65"/>
      <c r="CK25" s="47"/>
      <c r="CL25" s="46"/>
      <c r="CM25" s="64"/>
      <c r="CN25" s="65"/>
      <c r="CO25" s="47"/>
      <c r="CP25" s="46"/>
      <c r="CQ25" s="64"/>
      <c r="CR25" s="65"/>
      <c r="CS25" s="47"/>
      <c r="CT25" s="46"/>
      <c r="CU25" s="64"/>
      <c r="CV25" s="65"/>
      <c r="CW25" s="47"/>
      <c r="CX25" s="46"/>
      <c r="CY25" s="64"/>
      <c r="CZ25" s="65"/>
      <c r="DA25" s="47"/>
      <c r="DB25" s="46"/>
      <c r="DC25" s="64"/>
      <c r="DD25" s="65"/>
      <c r="DE25" s="47"/>
      <c r="DF25" s="46"/>
      <c r="DG25" s="64"/>
      <c r="DH25" s="65"/>
      <c r="DI25" s="47"/>
      <c r="DJ25" s="46"/>
      <c r="DK25" s="64"/>
      <c r="DL25" s="65"/>
      <c r="DM25" s="47"/>
      <c r="DN25" s="46"/>
      <c r="DO25" s="64"/>
      <c r="DP25" s="65"/>
      <c r="DQ25" s="47"/>
      <c r="DR25" s="46"/>
      <c r="DS25" s="64"/>
      <c r="DT25" s="65"/>
      <c r="DU25" s="47"/>
      <c r="DV25" s="46"/>
      <c r="DW25" s="64"/>
      <c r="DX25" s="65"/>
      <c r="DY25" s="47"/>
      <c r="DZ25" s="46"/>
      <c r="EA25" s="64"/>
      <c r="EB25" s="65"/>
      <c r="EC25" s="47"/>
      <c r="ED25" s="46">
        <f t="shared" si="5"/>
        <v>3</v>
      </c>
      <c r="EE25" s="64"/>
      <c r="EF25" s="65"/>
      <c r="EG25" s="47"/>
      <c r="EH25" s="46"/>
      <c r="EI25" s="64"/>
      <c r="EJ25" s="65"/>
      <c r="EK25" s="47"/>
      <c r="EL25" s="46"/>
      <c r="EM25" s="64"/>
      <c r="EN25" s="65"/>
      <c r="EO25" s="47"/>
      <c r="EP25" s="46"/>
      <c r="EQ25" s="64"/>
    </row>
    <row r="26" spans="1:147" x14ac:dyDescent="0.25">
      <c r="A26">
        <v>15</v>
      </c>
      <c r="C26" s="47"/>
      <c r="D26" s="46"/>
      <c r="F26" s="47"/>
      <c r="G26" s="46"/>
      <c r="I26" s="47"/>
      <c r="J26" s="46"/>
      <c r="L26" s="47"/>
      <c r="M26" s="46"/>
      <c r="O26" s="47"/>
      <c r="P26" s="46"/>
      <c r="R26" s="47"/>
      <c r="S26" s="46"/>
      <c r="U26" s="47"/>
      <c r="V26" s="46"/>
      <c r="X26" s="47"/>
      <c r="Y26" s="46"/>
      <c r="AA26" s="47"/>
      <c r="AB26" s="46"/>
      <c r="AD26" s="47"/>
      <c r="AE26" s="46"/>
      <c r="AG26" s="47"/>
      <c r="AH26" s="46"/>
      <c r="AJ26" s="63"/>
      <c r="AK26" s="47"/>
      <c r="AL26" s="46"/>
      <c r="AM26" s="64"/>
      <c r="AN26" s="65"/>
      <c r="AO26" s="47"/>
      <c r="AP26" s="46"/>
      <c r="AQ26" s="64"/>
      <c r="AR26" s="65"/>
      <c r="AS26" s="47">
        <v>42237</v>
      </c>
      <c r="AT26" s="46">
        <f>WORKDAY(AS26,2,AJ$33:AJ$43)</f>
        <v>42241</v>
      </c>
      <c r="AU26" s="64"/>
      <c r="AV26" s="65">
        <f>+AW26-AS26</f>
        <v>31</v>
      </c>
      <c r="AW26" s="47">
        <v>42268</v>
      </c>
      <c r="AX26" s="46">
        <f>WORKDAY(AW26,2,AN$33:AN$43)</f>
        <v>42270</v>
      </c>
      <c r="AY26" s="64"/>
      <c r="AZ26" s="65">
        <f>+BA26-AW26</f>
        <v>30</v>
      </c>
      <c r="BA26" s="47">
        <v>42298</v>
      </c>
      <c r="BB26" s="46">
        <f>WORKDAY(BA26,2,AR$33:AR$43)</f>
        <v>42300</v>
      </c>
      <c r="BC26" s="64"/>
      <c r="BD26" s="65">
        <f>+BE26-BA26</f>
        <v>28</v>
      </c>
      <c r="BE26" s="47">
        <v>42326</v>
      </c>
      <c r="BF26" s="46">
        <f>WORKDAY(BE26,2,AV$33:AV$43)</f>
        <v>42328</v>
      </c>
      <c r="BG26" s="64"/>
      <c r="BH26" s="65">
        <f>+BI26-BE26</f>
        <v>30</v>
      </c>
      <c r="BI26" s="47">
        <v>42356</v>
      </c>
      <c r="BJ26" s="46">
        <f>WORKDAY(BI26,2,AZ$33:AZ$43)</f>
        <v>42360</v>
      </c>
      <c r="BK26" s="64"/>
      <c r="BL26" s="65">
        <f>+BM26-BI26</f>
        <v>34</v>
      </c>
      <c r="BM26" s="47">
        <v>42390</v>
      </c>
      <c r="BN26" s="46">
        <f>WORKDAY(BM26,2,BD$33:BD$43)</f>
        <v>42394</v>
      </c>
      <c r="BO26" s="64"/>
      <c r="BP26" s="65">
        <f>+BQ26-BM26</f>
        <v>29</v>
      </c>
      <c r="BQ26" s="47">
        <v>42419</v>
      </c>
      <c r="BR26" s="46">
        <f>WORKDAY(BQ26,2,BH$33:BH$43)</f>
        <v>42423</v>
      </c>
      <c r="BS26" s="64"/>
      <c r="BT26" s="65">
        <f>+BU26-BQ26</f>
        <v>31</v>
      </c>
      <c r="BU26" s="47">
        <v>42450</v>
      </c>
      <c r="BV26" s="46">
        <f>WORKDAY(BU26,2,BL$33:BL$43)</f>
        <v>42452</v>
      </c>
      <c r="BW26" s="64"/>
      <c r="BX26" s="65">
        <f>+BY26-BU26</f>
        <v>29</v>
      </c>
      <c r="BY26" s="47">
        <v>42479</v>
      </c>
      <c r="BZ26" s="46">
        <f t="shared" si="3"/>
        <v>42481</v>
      </c>
      <c r="CA26" s="64"/>
      <c r="CB26" s="65">
        <f>+CC26-BY26</f>
        <v>31</v>
      </c>
      <c r="CC26" s="47">
        <v>42510</v>
      </c>
      <c r="CD26" s="46">
        <f t="shared" si="4"/>
        <v>42514</v>
      </c>
      <c r="CE26" s="64"/>
      <c r="CF26" s="65">
        <f>+CG26-CC26</f>
        <v>31</v>
      </c>
      <c r="CG26" s="47">
        <v>42541</v>
      </c>
      <c r="CH26" s="46">
        <f>WORKDAY(CG26,2)</f>
        <v>42543</v>
      </c>
      <c r="CI26" s="64"/>
      <c r="CJ26" s="65">
        <f>+CK26-CG26</f>
        <v>30</v>
      </c>
      <c r="CK26" s="47">
        <v>42571</v>
      </c>
      <c r="CL26" s="46">
        <f>WORKDAY(CK26,2)</f>
        <v>42573</v>
      </c>
      <c r="CM26" s="64"/>
      <c r="CN26" s="65">
        <f>+CO26-CK26</f>
        <v>30</v>
      </c>
      <c r="CO26" s="47">
        <v>42601</v>
      </c>
      <c r="CP26" s="46">
        <f>WORKDAY(CO26,2)</f>
        <v>42605</v>
      </c>
      <c r="CQ26" s="64"/>
      <c r="CR26" s="65">
        <f>+CS26-CO26</f>
        <v>32</v>
      </c>
      <c r="CS26" s="47">
        <v>42633</v>
      </c>
      <c r="CT26" s="46">
        <f>WORKDAY(CS26,2)</f>
        <v>42635</v>
      </c>
      <c r="CU26" s="64"/>
      <c r="CV26" s="65">
        <f>+CW26-CS26</f>
        <v>29</v>
      </c>
      <c r="CW26" s="47">
        <v>42662</v>
      </c>
      <c r="CX26" s="46">
        <f>WORKDAY(CW26,2)</f>
        <v>42664</v>
      </c>
      <c r="CY26" s="64"/>
      <c r="CZ26" s="65">
        <f>+DA26-CW26</f>
        <v>30</v>
      </c>
      <c r="DA26" s="47">
        <v>42692</v>
      </c>
      <c r="DB26" s="46">
        <f>WORKDAY(DA26,2)</f>
        <v>42696</v>
      </c>
      <c r="DC26" s="64"/>
      <c r="DD26" s="65">
        <f>+DE26-DA26</f>
        <v>32</v>
      </c>
      <c r="DE26" s="47">
        <v>42724</v>
      </c>
      <c r="DF26" s="46">
        <f>WORKDAY(DE26,2)</f>
        <v>42726</v>
      </c>
      <c r="DG26" s="64"/>
      <c r="DH26" s="65">
        <f>+DI26-DE26</f>
        <v>34</v>
      </c>
      <c r="DI26" s="47">
        <v>42758</v>
      </c>
      <c r="DJ26" s="46">
        <f>WORKDAY(DI26,2)</f>
        <v>42760</v>
      </c>
      <c r="DK26" s="64"/>
      <c r="DL26" s="65">
        <f>+DM26-DI26</f>
        <v>28</v>
      </c>
      <c r="DM26" s="47">
        <v>42786</v>
      </c>
      <c r="DN26" s="46">
        <f>WORKDAY(DM26,2)</f>
        <v>42788</v>
      </c>
      <c r="DO26" s="64"/>
      <c r="DP26" s="65">
        <f>+DQ26-DM26</f>
        <v>29</v>
      </c>
      <c r="DQ26" s="47">
        <v>42815</v>
      </c>
      <c r="DR26" s="46">
        <f>WORKDAY(DQ26,2)</f>
        <v>42817</v>
      </c>
      <c r="DS26" s="64"/>
      <c r="DT26" s="65">
        <f>+DU26-DQ26</f>
        <v>729</v>
      </c>
      <c r="DU26" s="47">
        <v>43544</v>
      </c>
      <c r="DV26" s="46">
        <f>WORKDAY(DU26,2)</f>
        <v>43546</v>
      </c>
      <c r="DW26" s="64"/>
      <c r="DX26" s="65">
        <f>+DY26-DU26</f>
        <v>33</v>
      </c>
      <c r="DY26" s="47">
        <v>43577</v>
      </c>
      <c r="DZ26" s="46">
        <f>WORKDAY(DY26,2)</f>
        <v>43579</v>
      </c>
      <c r="EA26" s="64"/>
      <c r="EB26" s="65">
        <f>+EC26-DY26</f>
        <v>29</v>
      </c>
      <c r="EC26" s="47">
        <v>43606</v>
      </c>
      <c r="ED26" s="46">
        <f t="shared" si="5"/>
        <v>43608</v>
      </c>
      <c r="EE26" s="64"/>
      <c r="EF26" s="65">
        <f>+EG26-EC26</f>
        <v>30</v>
      </c>
      <c r="EG26" s="47">
        <v>43636</v>
      </c>
      <c r="EH26" s="46">
        <f>WORKDAY(EG26,2)</f>
        <v>43640</v>
      </c>
      <c r="EI26" s="64"/>
      <c r="EJ26" s="65">
        <f>+EK26-EG26</f>
        <v>32</v>
      </c>
      <c r="EK26" s="47">
        <v>43668</v>
      </c>
      <c r="EL26" s="46">
        <f>WORKDAY(EK26,2)</f>
        <v>43670</v>
      </c>
      <c r="EM26" s="64"/>
      <c r="EN26" s="65">
        <f>+EO26-EK26</f>
        <v>30</v>
      </c>
      <c r="EO26" s="47">
        <v>43698</v>
      </c>
      <c r="EP26" s="46">
        <f>WORKDAY(EO26,2)</f>
        <v>43700</v>
      </c>
      <c r="EQ26" s="64"/>
    </row>
    <row r="27" spans="1:147" x14ac:dyDescent="0.25">
      <c r="A27">
        <v>17</v>
      </c>
      <c r="C27" s="47"/>
      <c r="D27" s="46"/>
      <c r="F27" s="47"/>
      <c r="G27" s="46"/>
      <c r="I27" s="47"/>
      <c r="J27" s="46"/>
      <c r="L27" s="47"/>
      <c r="M27" s="46"/>
      <c r="O27" s="47"/>
      <c r="P27" s="46"/>
      <c r="R27" s="47"/>
      <c r="S27" s="46"/>
      <c r="U27" s="47"/>
      <c r="V27" s="46"/>
      <c r="X27" s="47"/>
      <c r="Y27" s="46"/>
      <c r="AA27" s="47"/>
      <c r="AB27" s="46"/>
      <c r="AD27" s="47"/>
      <c r="AE27" s="46"/>
      <c r="AG27" s="47"/>
      <c r="AH27" s="46"/>
      <c r="AJ27" s="63"/>
      <c r="AK27" s="47"/>
      <c r="AL27" s="46"/>
      <c r="AM27" s="64"/>
      <c r="AN27" s="65"/>
      <c r="AO27" s="47"/>
      <c r="AP27" s="46"/>
      <c r="AQ27" s="64"/>
      <c r="AR27" s="65"/>
      <c r="AS27" s="47">
        <v>42241</v>
      </c>
      <c r="AT27" s="46">
        <f>WORKDAY(AS27,2,AJ$33:AJ$43)</f>
        <v>42243</v>
      </c>
      <c r="AU27" s="64"/>
      <c r="AV27" s="65">
        <f>+AW27-AS27</f>
        <v>29</v>
      </c>
      <c r="AW27" s="47">
        <v>42270</v>
      </c>
      <c r="AX27" s="46">
        <f>WORKDAY(AW27,2,AN$33:AN$43)</f>
        <v>42272</v>
      </c>
      <c r="AY27" s="64"/>
      <c r="AZ27" s="65">
        <f>+BA27-AW27</f>
        <v>30</v>
      </c>
      <c r="BA27" s="47">
        <v>42300</v>
      </c>
      <c r="BB27" s="46">
        <f>WORKDAY(BA27,2,AR$33:AR$43)</f>
        <v>42304</v>
      </c>
      <c r="BC27" s="64"/>
      <c r="BD27" s="65">
        <f>+BE27-BA27</f>
        <v>28</v>
      </c>
      <c r="BE27" s="47">
        <v>42328</v>
      </c>
      <c r="BF27" s="46">
        <f>WORKDAY(BE27,2,AV$33:AV$43)</f>
        <v>42332</v>
      </c>
      <c r="BG27" s="64"/>
      <c r="BH27" s="65">
        <f>+BI27-BE27</f>
        <v>32</v>
      </c>
      <c r="BI27" s="47">
        <v>42360</v>
      </c>
      <c r="BJ27" s="46">
        <f>WORKDAY(BI27,2,AZ$33:AZ$43)</f>
        <v>42362</v>
      </c>
      <c r="BK27" s="64"/>
      <c r="BL27" s="65">
        <f>+BM27-BI27</f>
        <v>34</v>
      </c>
      <c r="BM27" s="47">
        <v>42394</v>
      </c>
      <c r="BN27" s="46">
        <f>WORKDAY(BM27,2,BD$33:BD$43)</f>
        <v>42396</v>
      </c>
      <c r="BO27" s="64"/>
      <c r="BP27" s="65">
        <f>+BQ27-BM27</f>
        <v>29</v>
      </c>
      <c r="BQ27" s="47">
        <v>42423</v>
      </c>
      <c r="BR27" s="46">
        <f>WORKDAY(BQ27,2,BH$33:BH$43)</f>
        <v>42425</v>
      </c>
      <c r="BS27" s="64"/>
      <c r="BT27" s="65">
        <f>+BU27-BQ27</f>
        <v>29</v>
      </c>
      <c r="BU27" s="47">
        <v>42452</v>
      </c>
      <c r="BV27" s="46">
        <f>WORKDAY(BU27,2,BL$33:BL$43)</f>
        <v>42454</v>
      </c>
      <c r="BW27" s="64"/>
      <c r="BX27" s="65">
        <f>+BY27-BU27</f>
        <v>30</v>
      </c>
      <c r="BY27" s="47">
        <v>42482</v>
      </c>
      <c r="BZ27" s="46">
        <f t="shared" si="3"/>
        <v>42486</v>
      </c>
      <c r="CA27" s="64"/>
      <c r="CB27" s="65">
        <f>+CC27-BY27</f>
        <v>32</v>
      </c>
      <c r="CC27" s="47">
        <v>42514</v>
      </c>
      <c r="CD27" s="46">
        <f t="shared" si="4"/>
        <v>42516</v>
      </c>
      <c r="CE27" s="64"/>
      <c r="CF27" s="65">
        <f>+CG27-CC27</f>
        <v>29</v>
      </c>
      <c r="CG27" s="47">
        <v>42543</v>
      </c>
      <c r="CH27" s="46">
        <f>WORKDAY(CG27,2)</f>
        <v>42545</v>
      </c>
      <c r="CI27" s="64"/>
      <c r="CJ27" s="65">
        <f>+CK27-CG27</f>
        <v>33</v>
      </c>
      <c r="CK27" s="47">
        <v>42576</v>
      </c>
      <c r="CL27" s="46">
        <f>WORKDAY(CK27,2)</f>
        <v>42578</v>
      </c>
      <c r="CM27" s="64"/>
      <c r="CN27" s="65">
        <f>+CO27-CK27</f>
        <v>29</v>
      </c>
      <c r="CO27" s="47">
        <v>42605</v>
      </c>
      <c r="CP27" s="46">
        <f>WORKDAY(CO27,2)</f>
        <v>42607</v>
      </c>
      <c r="CQ27" s="64"/>
      <c r="CR27" s="65">
        <f>+CS27-CO27</f>
        <v>31</v>
      </c>
      <c r="CS27" s="47">
        <v>42636</v>
      </c>
      <c r="CT27" s="46">
        <f>WORKDAY(CS27,2)</f>
        <v>42640</v>
      </c>
      <c r="CU27" s="64"/>
      <c r="CV27" s="65">
        <f>+CW27-CS27</f>
        <v>31</v>
      </c>
      <c r="CW27" s="47">
        <v>42667</v>
      </c>
      <c r="CX27" s="46">
        <f>WORKDAY(CW27,2)</f>
        <v>42669</v>
      </c>
      <c r="CY27" s="64"/>
      <c r="CZ27" s="65">
        <f>+DA27-CW27</f>
        <v>29</v>
      </c>
      <c r="DA27" s="47">
        <v>42696</v>
      </c>
      <c r="DB27" s="46">
        <f>WORKDAY(DA27,2)</f>
        <v>42698</v>
      </c>
      <c r="DC27" s="64"/>
      <c r="DD27" s="65">
        <f>+DE27-DA27</f>
        <v>30</v>
      </c>
      <c r="DE27" s="47">
        <v>42726</v>
      </c>
      <c r="DF27" s="46">
        <f>WORKDAY(DE27,2)</f>
        <v>42730</v>
      </c>
      <c r="DG27" s="64"/>
      <c r="DH27" s="65">
        <f>+DI27-DE27</f>
        <v>34</v>
      </c>
      <c r="DI27" s="47">
        <v>42760</v>
      </c>
      <c r="DJ27" s="46">
        <f>WORKDAY(DI27,2)</f>
        <v>42762</v>
      </c>
      <c r="DK27" s="64"/>
      <c r="DL27" s="65">
        <f>+DM27-DI27</f>
        <v>28</v>
      </c>
      <c r="DM27" s="47">
        <v>42788</v>
      </c>
      <c r="DN27" s="46">
        <f>WORKDAY(DM27,2)</f>
        <v>42790</v>
      </c>
      <c r="DO27" s="64"/>
      <c r="DP27" s="65">
        <f>+DQ27-DM27</f>
        <v>30</v>
      </c>
      <c r="DQ27" s="47">
        <v>42818</v>
      </c>
      <c r="DR27" s="46">
        <f>WORKDAY(DQ27,2)</f>
        <v>42822</v>
      </c>
      <c r="DS27" s="64"/>
      <c r="DT27" s="65">
        <f>+DU27-DQ27</f>
        <v>731</v>
      </c>
      <c r="DU27" s="47">
        <v>43549</v>
      </c>
      <c r="DV27" s="46">
        <f>WORKDAY(DU27,2)</f>
        <v>43551</v>
      </c>
      <c r="DW27" s="64"/>
      <c r="DX27" s="65">
        <f>+DY27-DU27</f>
        <v>30</v>
      </c>
      <c r="DY27" s="47">
        <v>43579</v>
      </c>
      <c r="DZ27" s="46">
        <f>WORKDAY(DY27,2)</f>
        <v>43581</v>
      </c>
      <c r="EA27" s="64"/>
      <c r="EB27" s="65">
        <f>+EC27-DY27</f>
        <v>30</v>
      </c>
      <c r="EC27" s="47">
        <v>43609</v>
      </c>
      <c r="ED27" s="46">
        <f t="shared" si="5"/>
        <v>43613</v>
      </c>
      <c r="EE27" s="64"/>
      <c r="EF27" s="65">
        <f>+EG27-EC27</f>
        <v>31</v>
      </c>
      <c r="EG27" s="47">
        <v>43640</v>
      </c>
      <c r="EH27" s="46">
        <f>WORKDAY(EG27,2)</f>
        <v>43642</v>
      </c>
      <c r="EI27" s="64"/>
      <c r="EJ27" s="65">
        <f>+EK27-EG27</f>
        <v>30</v>
      </c>
      <c r="EK27" s="47">
        <v>43670</v>
      </c>
      <c r="EL27" s="46">
        <f>WORKDAY(EK27,2)</f>
        <v>43672</v>
      </c>
      <c r="EM27" s="64"/>
      <c r="EN27" s="65">
        <f>+EO27-EK27</f>
        <v>33</v>
      </c>
      <c r="EO27" s="47">
        <v>43703</v>
      </c>
      <c r="EP27" s="46">
        <f>WORKDAY(EO27,2)</f>
        <v>43705</v>
      </c>
      <c r="EQ27" s="64"/>
    </row>
    <row r="28" spans="1:147" x14ac:dyDescent="0.25">
      <c r="AJ28" s="63"/>
      <c r="AM28" s="64"/>
      <c r="AN28" s="65"/>
      <c r="AQ28" s="64"/>
      <c r="AR28" s="65"/>
      <c r="AU28" s="64"/>
      <c r="AV28" s="65"/>
      <c r="AY28" s="64"/>
      <c r="AZ28" s="65"/>
      <c r="BC28" s="64"/>
      <c r="BD28" s="65"/>
      <c r="BG28" s="64"/>
      <c r="BH28" s="65"/>
      <c r="BK28" s="64"/>
      <c r="BL28" s="65"/>
      <c r="BO28" s="64"/>
      <c r="BP28" s="65"/>
      <c r="BS28" s="64"/>
      <c r="BT28" s="65"/>
      <c r="BW28" s="64"/>
      <c r="BX28" s="65"/>
      <c r="BZ28" s="46"/>
      <c r="CA28" s="64"/>
      <c r="CB28" s="65"/>
      <c r="CD28" s="46"/>
      <c r="CE28" s="64"/>
      <c r="CF28" s="65"/>
      <c r="CH28" s="46"/>
      <c r="CI28" s="64"/>
      <c r="CJ28" s="65"/>
      <c r="CL28" s="46"/>
      <c r="CM28" s="64"/>
      <c r="CN28" s="65"/>
      <c r="CP28" s="46"/>
      <c r="CQ28" s="64"/>
      <c r="CR28" s="65"/>
      <c r="CT28" s="46"/>
      <c r="CU28" s="64"/>
      <c r="CV28" s="65"/>
      <c r="CX28" s="46"/>
      <c r="CY28" s="64"/>
      <c r="CZ28" s="65"/>
      <c r="DB28" s="46"/>
      <c r="DC28" s="64"/>
      <c r="DD28" s="65"/>
      <c r="DF28" s="46"/>
      <c r="DG28" s="64"/>
      <c r="DH28" s="65"/>
      <c r="DJ28" s="46"/>
      <c r="DK28" s="64"/>
      <c r="DL28" s="65"/>
      <c r="DN28" s="46"/>
      <c r="DO28" s="64"/>
      <c r="DP28" s="65"/>
      <c r="DR28" s="46"/>
      <c r="DS28" s="64"/>
      <c r="DT28" s="65"/>
      <c r="DV28" s="46"/>
      <c r="DW28" s="64"/>
      <c r="DX28" s="65"/>
      <c r="DZ28" s="46"/>
      <c r="EA28" s="64"/>
      <c r="EB28" s="65"/>
      <c r="ED28" s="46"/>
      <c r="EE28" s="64"/>
      <c r="EF28" s="65"/>
      <c r="EH28" s="46"/>
      <c r="EI28" s="64"/>
      <c r="EJ28" s="65"/>
      <c r="EL28" s="46"/>
      <c r="EM28" s="64"/>
      <c r="EN28" s="65"/>
      <c r="EP28" s="46"/>
      <c r="EQ28" s="64"/>
    </row>
    <row r="29" spans="1:147" x14ac:dyDescent="0.25">
      <c r="A29">
        <v>20</v>
      </c>
      <c r="C29" s="47">
        <v>39261</v>
      </c>
      <c r="D29" s="46">
        <f>WORKDAY(C29,2,$C$33:$C$42)</f>
        <v>39265</v>
      </c>
      <c r="F29" s="47">
        <v>39352</v>
      </c>
      <c r="G29" s="46">
        <f>WORKDAY(F29,2,$C$33:$C$42)</f>
        <v>39356</v>
      </c>
      <c r="I29" s="47">
        <v>39444</v>
      </c>
      <c r="J29" s="46">
        <f>WORKDAY(I29,2,$C$33:$C$42)</f>
        <v>39449</v>
      </c>
      <c r="L29" s="47">
        <v>39535</v>
      </c>
      <c r="M29" s="46">
        <f>WORKDAY(L29,2,$L$33:$L$42)</f>
        <v>39539</v>
      </c>
      <c r="O29" s="47">
        <v>39626</v>
      </c>
      <c r="P29" s="46">
        <f>WORKDAY(O29,2,$L$33:$L$42)</f>
        <v>39630</v>
      </c>
      <c r="R29" s="47">
        <v>39720</v>
      </c>
      <c r="S29" s="46">
        <f>WORKDAY(R29,2,$L$33:$L$42)</f>
        <v>39722</v>
      </c>
      <c r="U29" s="47">
        <v>39812</v>
      </c>
      <c r="V29" s="46">
        <f>WORKDAY(U29,2,$L$33:$L$42)</f>
        <v>39815</v>
      </c>
      <c r="X29" s="47">
        <v>39899</v>
      </c>
      <c r="Y29" s="46">
        <f>WORKDAY(X29,2,X$33:X$43)</f>
        <v>39903</v>
      </c>
      <c r="AA29" s="47">
        <v>39993</v>
      </c>
      <c r="AB29" s="46">
        <f>WORKDAY(AA29,2,$L$33:$L$43)</f>
        <v>39995</v>
      </c>
      <c r="AD29" s="47">
        <v>40085</v>
      </c>
      <c r="AE29" s="46">
        <f>WORKDAY(AD29,2,X$33:X$43)</f>
        <v>40087</v>
      </c>
      <c r="AG29" s="47">
        <v>40176</v>
      </c>
      <c r="AH29" s="46">
        <f>WORKDAY(AG29,2,X$33:X$43)</f>
        <v>40178</v>
      </c>
      <c r="AJ29" s="69"/>
      <c r="AK29" s="58">
        <v>42184</v>
      </c>
      <c r="AL29" s="59">
        <f>WORKDAY(AK29,2,AB$33:AB$43)</f>
        <v>42186</v>
      </c>
      <c r="AM29" s="68"/>
      <c r="AN29" s="67">
        <f>+AO29-AK29</f>
        <v>31</v>
      </c>
      <c r="AO29" s="58">
        <v>42215</v>
      </c>
      <c r="AP29" s="59">
        <f>WORKDAY(AO29,2,AF$33:AF$43)</f>
        <v>42219</v>
      </c>
      <c r="AQ29" s="68"/>
      <c r="AR29" s="67">
        <f>+AS29-AO29</f>
        <v>29</v>
      </c>
      <c r="AS29" s="58">
        <v>42244</v>
      </c>
      <c r="AT29" s="59">
        <f>WORKDAY(AS29,2,AJ$33:AJ$43)</f>
        <v>42248</v>
      </c>
      <c r="AU29" s="68" t="str">
        <f>IF(AT29=AX6,"(**)")</f>
        <v>(**)</v>
      </c>
      <c r="AV29" s="67">
        <f>+AW29-AS29</f>
        <v>32</v>
      </c>
      <c r="AW29" s="58">
        <v>42276</v>
      </c>
      <c r="AX29" s="59">
        <f>WORKDAY(AW29,2,AN$33:AN$43)</f>
        <v>42278</v>
      </c>
      <c r="AY29" s="68" t="str">
        <f>IF(AX29=BB6,"(**)")</f>
        <v>(**)</v>
      </c>
      <c r="AZ29" s="67">
        <f>+BA29-AW29</f>
        <v>29</v>
      </c>
      <c r="BA29" s="58">
        <v>42305</v>
      </c>
      <c r="BB29" s="59">
        <f>WORKDAY(BA29,2,AR$33:AR$43)</f>
        <v>42307</v>
      </c>
      <c r="BC29" s="68" t="str">
        <f>IF(BB29=BF6,"(**)")</f>
        <v>(**)</v>
      </c>
      <c r="BD29" s="67">
        <f>+BE29-BA29</f>
        <v>28</v>
      </c>
      <c r="BE29" s="58">
        <v>42333</v>
      </c>
      <c r="BF29" s="59">
        <f>WORKDAY(BE29,2,AV$33:AV$43)</f>
        <v>42335</v>
      </c>
      <c r="BG29" s="68" t="b">
        <f>IF(BF29=BJ6,"(**)")</f>
        <v>0</v>
      </c>
      <c r="BH29" s="67">
        <f>+BI29-BE29</f>
        <v>34</v>
      </c>
      <c r="BI29" s="58">
        <v>42367</v>
      </c>
      <c r="BJ29" s="59">
        <f>WORKDAY(BI29,2,AZ$33:AZ$43)</f>
        <v>42369</v>
      </c>
      <c r="BK29" s="68" t="str">
        <f>IF(BJ29=BN6,"(**)")</f>
        <v>(**)</v>
      </c>
      <c r="BL29" s="67">
        <f>+BM29-BI29</f>
        <v>30</v>
      </c>
      <c r="BM29" s="58">
        <v>42397</v>
      </c>
      <c r="BN29" s="59">
        <f>WORKDAY(BM29,2,BD$33:BD$43)</f>
        <v>42401</v>
      </c>
      <c r="BO29" s="68" t="str">
        <f>IF(BN29=BR6,"(**)")</f>
        <v>(**)</v>
      </c>
      <c r="BP29" s="67">
        <f>+BQ29-BM29</f>
        <v>29</v>
      </c>
      <c r="BQ29" s="58">
        <v>42426</v>
      </c>
      <c r="BR29" s="59">
        <f>WORKDAY(BQ29,2,BH$33:BH$43)</f>
        <v>42430</v>
      </c>
      <c r="BS29" s="68" t="str">
        <f>IF(BR29=BV6,"(**)")</f>
        <v>(**)</v>
      </c>
      <c r="BT29" s="67">
        <f>+BU29-BQ29</f>
        <v>32</v>
      </c>
      <c r="BU29" s="58">
        <v>42458</v>
      </c>
      <c r="BV29" s="59">
        <f>WORKDAY(BU29,2,BL$33:BL$43)</f>
        <v>42460</v>
      </c>
      <c r="BW29" s="68" t="str">
        <f>IF(BV29=BZ6,"(**)")</f>
        <v>(**)</v>
      </c>
      <c r="BX29" s="67">
        <f>+BY29-BU29</f>
        <v>29</v>
      </c>
      <c r="BY29" s="58">
        <v>42487</v>
      </c>
      <c r="BZ29" s="59">
        <f t="shared" si="3"/>
        <v>42489</v>
      </c>
      <c r="CA29" s="68" t="str">
        <f>IF(BZ29=CD6,"(**)")</f>
        <v>(**)</v>
      </c>
      <c r="CB29" s="67">
        <f>+CC29-BY29</f>
        <v>30</v>
      </c>
      <c r="CC29" s="58">
        <v>42517</v>
      </c>
      <c r="CD29" s="59">
        <f t="shared" si="4"/>
        <v>42521</v>
      </c>
      <c r="CE29" s="68" t="str">
        <f>IF(CD29=CG6,"(**)")</f>
        <v>(**)</v>
      </c>
      <c r="CF29" s="67">
        <f>+CG29-CC29</f>
        <v>32</v>
      </c>
      <c r="CG29" s="58">
        <v>42549</v>
      </c>
      <c r="CH29" s="59">
        <f>WORKDAY(CG29,2)</f>
        <v>42551</v>
      </c>
      <c r="CI29" s="68" t="str">
        <f>IF(CH29=CL6,"(**)")</f>
        <v>(**)</v>
      </c>
      <c r="CJ29" s="67">
        <f>+CK29-CG29</f>
        <v>30</v>
      </c>
      <c r="CK29" s="58">
        <v>42579</v>
      </c>
      <c r="CL29" s="59">
        <f>WORKDAY(CK29,2)</f>
        <v>42583</v>
      </c>
      <c r="CM29" s="68" t="str">
        <f>IF(CL29=CP6,"(**)")</f>
        <v>(**)</v>
      </c>
      <c r="CN29" s="67">
        <f>+CO29-CK29</f>
        <v>32</v>
      </c>
      <c r="CO29" s="58">
        <v>42611</v>
      </c>
      <c r="CP29" s="59">
        <f>WORKDAY(CO29,2)</f>
        <v>42613</v>
      </c>
      <c r="CQ29" s="68" t="str">
        <f>IF(CP29=CT6,"(**)")</f>
        <v>(**)</v>
      </c>
      <c r="CR29" s="67">
        <f>+CS29-CO29</f>
        <v>30</v>
      </c>
      <c r="CS29" s="58">
        <v>42641</v>
      </c>
      <c r="CT29" s="59">
        <f>WORKDAY(CS29,2)</f>
        <v>42643</v>
      </c>
      <c r="CU29" s="68" t="b">
        <f>IF(CT29=CX6,"(**)")</f>
        <v>0</v>
      </c>
      <c r="CV29" s="67">
        <f>+CW29-CS29</f>
        <v>29</v>
      </c>
      <c r="CW29" s="58">
        <v>42670</v>
      </c>
      <c r="CX29" s="59">
        <f>WORKDAY(CW29,2)</f>
        <v>42674</v>
      </c>
      <c r="CY29" s="68" t="str">
        <f>IF(CX29=DB6,"(**)")</f>
        <v>(**)</v>
      </c>
      <c r="CZ29" s="67">
        <f>+DA29-CW29</f>
        <v>33</v>
      </c>
      <c r="DA29" s="58">
        <v>42703</v>
      </c>
      <c r="DB29" s="59">
        <f>WORKDAY(DA29,2)</f>
        <v>42705</v>
      </c>
      <c r="DC29" s="68" t="str">
        <f>IF(DB29=DF6,"(**)")</f>
        <v>(**)</v>
      </c>
      <c r="DD29" s="67">
        <f>+DE29-DA29</f>
        <v>30</v>
      </c>
      <c r="DE29" s="58">
        <v>42733</v>
      </c>
      <c r="DF29" s="59">
        <f>WORKDAY(DE29,2)</f>
        <v>42737</v>
      </c>
      <c r="DG29" s="68" t="str">
        <f>IF(DF29=DJ6,"(**)")</f>
        <v>(**)</v>
      </c>
      <c r="DH29" s="67">
        <f>+DI29-DE29</f>
        <v>32</v>
      </c>
      <c r="DI29" s="58">
        <v>42765</v>
      </c>
      <c r="DJ29" s="59">
        <f>WORKDAY(DI29,2)</f>
        <v>42767</v>
      </c>
      <c r="DK29" s="68" t="str">
        <f>IF(DJ29=DN6,"(**)")</f>
        <v>(**)</v>
      </c>
      <c r="DL29" s="67">
        <f>+DM29-DI29</f>
        <v>28</v>
      </c>
      <c r="DM29" s="58">
        <v>42793</v>
      </c>
      <c r="DN29" s="59">
        <f>WORKDAY(DM29,2)</f>
        <v>42795</v>
      </c>
      <c r="DO29" s="68" t="str">
        <f>IF(DN29=DR6,"(**)")</f>
        <v>(**)</v>
      </c>
      <c r="DP29" s="67">
        <f>+DQ29-DM29</f>
        <v>30</v>
      </c>
      <c r="DQ29" s="58">
        <v>42823</v>
      </c>
      <c r="DR29" s="59">
        <f>WORKDAY(DQ29,2)</f>
        <v>42825</v>
      </c>
      <c r="DS29" s="68" t="b">
        <f>IF(DR29=DV6,"(**)")</f>
        <v>0</v>
      </c>
      <c r="DT29" s="67">
        <f>+DU29-DQ29</f>
        <v>729</v>
      </c>
      <c r="DU29" s="58">
        <v>43552</v>
      </c>
      <c r="DV29" s="59">
        <f>WORKDAY(DU29,2)</f>
        <v>43556</v>
      </c>
      <c r="DW29" s="68" t="str">
        <f>IF(DV29=DZ6,"(**)")</f>
        <v>(**)</v>
      </c>
      <c r="DX29" s="67">
        <f>+DY29-DU29</f>
        <v>32</v>
      </c>
      <c r="DY29" s="58">
        <v>43584</v>
      </c>
      <c r="DZ29" s="59">
        <f>WORKDAY(DY29,2)</f>
        <v>43586</v>
      </c>
      <c r="EA29" s="68" t="str">
        <f>IF(DZ29=ED6,"(**)")</f>
        <v>(**)</v>
      </c>
      <c r="EB29" s="67">
        <f>+EC29-DY29</f>
        <v>31</v>
      </c>
      <c r="EC29" s="58">
        <v>43615</v>
      </c>
      <c r="ED29" s="59">
        <f>WORKDAY(EC29,2)</f>
        <v>43619</v>
      </c>
      <c r="EE29" s="68" t="str">
        <f>IF(ED29=EH6,"(**)")</f>
        <v>(**)</v>
      </c>
      <c r="EF29" s="67">
        <f>+EG29-EC29</f>
        <v>28</v>
      </c>
      <c r="EG29" s="58">
        <v>43643</v>
      </c>
      <c r="EH29" s="59">
        <f>WORKDAY(EG29,2)</f>
        <v>43647</v>
      </c>
      <c r="EI29" s="68" t="b">
        <f>IF(EH29=EK6,"(**)")</f>
        <v>0</v>
      </c>
      <c r="EJ29" s="67">
        <f>+EK29-EG29</f>
        <v>33</v>
      </c>
      <c r="EK29" s="58">
        <v>43676</v>
      </c>
      <c r="EL29" s="59">
        <f>WORKDAY(EK29,2)</f>
        <v>43678</v>
      </c>
      <c r="EM29" s="68" t="str">
        <f>IF(EL29=EP6,"(**)")</f>
        <v>(**)</v>
      </c>
      <c r="EN29" s="67">
        <f>+EO29-EK29</f>
        <v>30</v>
      </c>
      <c r="EO29" s="58">
        <v>43706</v>
      </c>
      <c r="EP29" s="59">
        <f>WORKDAY(EO29,2)</f>
        <v>43710</v>
      </c>
      <c r="EQ29" s="68" t="b">
        <f>IF(EP29=ES6,"(**)")</f>
        <v>0</v>
      </c>
    </row>
    <row r="33" spans="1:34" x14ac:dyDescent="0.25">
      <c r="A33" t="s">
        <v>69</v>
      </c>
      <c r="C33" s="48">
        <v>39083</v>
      </c>
      <c r="L33" s="48">
        <v>39448</v>
      </c>
      <c r="O33" s="48"/>
      <c r="X33" s="48">
        <v>39814</v>
      </c>
      <c r="AA33" s="48"/>
    </row>
    <row r="34" spans="1:34" x14ac:dyDescent="0.25">
      <c r="C34" s="48">
        <v>39178</v>
      </c>
      <c r="L34" s="48">
        <v>39542</v>
      </c>
      <c r="O34" s="48"/>
      <c r="X34" s="48">
        <v>39913</v>
      </c>
      <c r="AA34" s="48"/>
    </row>
    <row r="35" spans="1:34" x14ac:dyDescent="0.25">
      <c r="C35" s="48">
        <v>39230</v>
      </c>
      <c r="L35" s="48">
        <v>39594</v>
      </c>
      <c r="O35" s="48"/>
      <c r="X35" s="48">
        <v>39954</v>
      </c>
      <c r="AA35" s="48"/>
    </row>
    <row r="36" spans="1:34" x14ac:dyDescent="0.25">
      <c r="C36" s="48">
        <v>39267</v>
      </c>
      <c r="L36" s="48">
        <v>39633</v>
      </c>
      <c r="O36" s="48"/>
      <c r="X36" s="48">
        <v>39958</v>
      </c>
      <c r="AA36" s="48"/>
    </row>
    <row r="37" spans="1:34" x14ac:dyDescent="0.25">
      <c r="C37" s="48">
        <v>39328</v>
      </c>
      <c r="L37" s="48">
        <v>39692</v>
      </c>
      <c r="O37" s="48"/>
      <c r="X37" s="48">
        <v>39997</v>
      </c>
      <c r="AA37" s="48"/>
    </row>
    <row r="38" spans="1:34" x14ac:dyDescent="0.25">
      <c r="C38" s="48">
        <v>39408</v>
      </c>
      <c r="L38" s="48">
        <v>39779</v>
      </c>
      <c r="O38" s="48"/>
      <c r="X38" s="48">
        <v>40063</v>
      </c>
      <c r="AA38" s="48"/>
    </row>
    <row r="39" spans="1:34" x14ac:dyDescent="0.25">
      <c r="C39" s="48">
        <v>39409</v>
      </c>
      <c r="L39" s="48">
        <v>39780</v>
      </c>
      <c r="O39" s="48"/>
      <c r="X39" s="48">
        <v>40143</v>
      </c>
      <c r="AA39" s="48"/>
    </row>
    <row r="40" spans="1:34" x14ac:dyDescent="0.25">
      <c r="C40" s="48">
        <v>39440</v>
      </c>
      <c r="L40" s="48">
        <v>39806</v>
      </c>
      <c r="O40" s="48"/>
      <c r="X40" s="48">
        <v>40144</v>
      </c>
      <c r="AA40" s="48"/>
    </row>
    <row r="41" spans="1:34" x14ac:dyDescent="0.25">
      <c r="C41" s="48">
        <v>39441</v>
      </c>
      <c r="L41" s="48">
        <v>39807</v>
      </c>
      <c r="O41" s="48"/>
      <c r="X41" s="48">
        <v>40171</v>
      </c>
      <c r="AA41" s="48"/>
    </row>
    <row r="42" spans="1:34" x14ac:dyDescent="0.25">
      <c r="C42" s="48">
        <v>39448</v>
      </c>
      <c r="L42" s="48">
        <v>39814</v>
      </c>
      <c r="O42" s="48"/>
      <c r="X42" s="48">
        <v>40172</v>
      </c>
      <c r="AA42" s="48"/>
    </row>
    <row r="43" spans="1:34" x14ac:dyDescent="0.25">
      <c r="C43" s="48"/>
      <c r="X43" s="48">
        <v>40179</v>
      </c>
    </row>
    <row r="44" spans="1:34" x14ac:dyDescent="0.25">
      <c r="AH44" t="s">
        <v>77</v>
      </c>
    </row>
    <row r="45" spans="1:34" x14ac:dyDescent="0.25">
      <c r="AH45" t="s">
        <v>78</v>
      </c>
    </row>
    <row r="46" spans="1:34" x14ac:dyDescent="0.25">
      <c r="X46" s="10">
        <f>+X2</f>
        <v>2009</v>
      </c>
      <c r="Y46" t="s">
        <v>74</v>
      </c>
      <c r="AD46" s="10">
        <f>+AD2</f>
        <v>2009</v>
      </c>
      <c r="AE46" t="s">
        <v>75</v>
      </c>
    </row>
    <row r="47" spans="1:34" x14ac:dyDescent="0.25">
      <c r="X47" s="40" t="s">
        <v>57</v>
      </c>
      <c r="Y47" s="40" t="s">
        <v>58</v>
      </c>
      <c r="AD47" s="40" t="s">
        <v>57</v>
      </c>
      <c r="AE47" s="40" t="s">
        <v>58</v>
      </c>
    </row>
    <row r="49" spans="1:31" x14ac:dyDescent="0.25">
      <c r="A49">
        <v>41</v>
      </c>
      <c r="B49" t="s">
        <v>70</v>
      </c>
      <c r="X49" s="47">
        <v>39842</v>
      </c>
      <c r="Y49" s="46">
        <f>WORKDAY(X49,1,X$33:X$43)</f>
        <v>39843</v>
      </c>
      <c r="AD49" s="47">
        <v>40025</v>
      </c>
      <c r="AE49" s="46">
        <f>WORKDAY(AD49,1,AD$33:AD$43)</f>
        <v>40028</v>
      </c>
    </row>
    <row r="50" spans="1:31" x14ac:dyDescent="0.25">
      <c r="A50">
        <v>42</v>
      </c>
      <c r="B50" t="s">
        <v>70</v>
      </c>
      <c r="X50" s="47">
        <v>39843</v>
      </c>
      <c r="Y50" s="46">
        <f>WORKDAY(X50,1,X$33:X$43)</f>
        <v>39846</v>
      </c>
      <c r="AD50" s="47">
        <v>40028</v>
      </c>
      <c r="AE50" s="46">
        <f>WORKDAY(AD50,1,AD$33:AD$43)</f>
        <v>40029</v>
      </c>
    </row>
  </sheetData>
  <phoneticPr fontId="3"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Sep 23 Bill Calc.</vt:lpstr>
      <vt:lpstr>Help (Res. and Small C&amp;I)</vt:lpstr>
      <vt:lpstr>Help (Large C&amp;I)</vt:lpstr>
      <vt:lpstr>Help (Rate SE)</vt:lpstr>
      <vt:lpstr>Inputs</vt:lpstr>
      <vt:lpstr>Calc-Sep. 23 Current</vt:lpstr>
      <vt:lpstr>Pwr Factor</vt:lpstr>
      <vt:lpstr>Dates</vt:lpstr>
      <vt:lpstr>'Calc-Sep. 23 Current'!Print_Area</vt:lpstr>
      <vt:lpstr>'Calc-Sep. 23 Current'!Print_Titles</vt:lpstr>
      <vt:lpstr>Dates!Print_Titles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2022-09-01T19:45:24Z</dcterms:created>
  <dcterms:modified xsi:type="dcterms:W3CDTF">2023-11-13T19:35:37Z</dcterms:modified>
</cp:coreProperties>
</file>